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学科教学质量和进步奖\"/>
    </mc:Choice>
  </mc:AlternateContent>
  <xr:revisionPtr revIDLastSave="0" documentId="13_ncr:1_{E5794106-9C21-48A7-A4C7-C1F6E3476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总表" sheetId="13" r:id="rId1"/>
    <sheet name="打款表" sheetId="14" r:id="rId2"/>
    <sheet name="理科语文" sheetId="1" r:id="rId3"/>
    <sheet name="物理" sheetId="4" r:id="rId4"/>
    <sheet name="化学" sheetId="5" r:id="rId5"/>
    <sheet name="生物" sheetId="6" r:id="rId6"/>
    <sheet name="理科数学" sheetId="9" r:id="rId7"/>
    <sheet name="理科英语" sheetId="10" r:id="rId8"/>
    <sheet name="汇总表" sheetId="11" r:id="rId9"/>
    <sheet name="平均分你和班校比" sheetId="12" r:id="rId10"/>
    <sheet name="文科计算表" sheetId="15" r:id="rId11"/>
  </sheets>
  <calcPr calcId="181029"/>
</workbook>
</file>

<file path=xl/calcChain.xml><?xml version="1.0" encoding="utf-8"?>
<calcChain xmlns="http://schemas.openxmlformats.org/spreadsheetml/2006/main">
  <c r="L3" i="13" l="1"/>
  <c r="E91" i="15"/>
  <c r="K90" i="15"/>
  <c r="J90" i="15"/>
  <c r="L90" i="15" s="1"/>
  <c r="F90" i="15"/>
  <c r="K89" i="15"/>
  <c r="J89" i="15"/>
  <c r="L89" i="15" s="1"/>
  <c r="F89" i="15"/>
  <c r="K88" i="15"/>
  <c r="L88" i="15" s="1"/>
  <c r="J88" i="15"/>
  <c r="F88" i="15"/>
  <c r="L87" i="15"/>
  <c r="N87" i="15" s="1"/>
  <c r="K87" i="15"/>
  <c r="J87" i="15"/>
  <c r="F87" i="15"/>
  <c r="K86" i="15"/>
  <c r="K91" i="15" s="1"/>
  <c r="J86" i="15"/>
  <c r="L86" i="15" s="1"/>
  <c r="F86" i="15"/>
  <c r="F91" i="15" s="1"/>
  <c r="F83" i="15"/>
  <c r="E83" i="15"/>
  <c r="K82" i="15"/>
  <c r="J82" i="15"/>
  <c r="L82" i="15" s="1"/>
  <c r="F82" i="15"/>
  <c r="K81" i="15"/>
  <c r="L81" i="15" s="1"/>
  <c r="J81" i="15"/>
  <c r="F81" i="15"/>
  <c r="L80" i="15"/>
  <c r="N80" i="15" s="1"/>
  <c r="K80" i="15"/>
  <c r="J80" i="15"/>
  <c r="F80" i="15"/>
  <c r="K79" i="15"/>
  <c r="J79" i="15"/>
  <c r="L79" i="15" s="1"/>
  <c r="N79" i="15" s="1"/>
  <c r="F79" i="15"/>
  <c r="K78" i="15"/>
  <c r="K83" i="15" s="1"/>
  <c r="J78" i="15"/>
  <c r="L78" i="15" s="1"/>
  <c r="F78" i="15"/>
  <c r="E75" i="15"/>
  <c r="K74" i="15"/>
  <c r="L74" i="15" s="1"/>
  <c r="J74" i="15"/>
  <c r="F74" i="15"/>
  <c r="K73" i="15"/>
  <c r="J73" i="15"/>
  <c r="L73" i="15" s="1"/>
  <c r="F73" i="15"/>
  <c r="L72" i="15"/>
  <c r="K72" i="15"/>
  <c r="J72" i="15"/>
  <c r="F72" i="15"/>
  <c r="K71" i="15"/>
  <c r="J71" i="15"/>
  <c r="L71" i="15" s="1"/>
  <c r="N71" i="15" s="1"/>
  <c r="F71" i="15"/>
  <c r="K70" i="15"/>
  <c r="K75" i="15" s="1"/>
  <c r="J70" i="15"/>
  <c r="L70" i="15" s="1"/>
  <c r="F70" i="15"/>
  <c r="F75" i="15" s="1"/>
  <c r="K67" i="15"/>
  <c r="E67" i="15"/>
  <c r="K66" i="15"/>
  <c r="J66" i="15"/>
  <c r="L66" i="15" s="1"/>
  <c r="F66" i="15"/>
  <c r="K65" i="15"/>
  <c r="J65" i="15"/>
  <c r="L65" i="15" s="1"/>
  <c r="F65" i="15"/>
  <c r="K64" i="15"/>
  <c r="L64" i="15" s="1"/>
  <c r="J64" i="15"/>
  <c r="F64" i="15"/>
  <c r="K63" i="15"/>
  <c r="J63" i="15"/>
  <c r="L63" i="15" s="1"/>
  <c r="N63" i="15" s="1"/>
  <c r="F63" i="15"/>
  <c r="K62" i="15"/>
  <c r="J62" i="15"/>
  <c r="J67" i="15" s="1"/>
  <c r="F62" i="15"/>
  <c r="F67" i="15" s="1"/>
  <c r="K59" i="15"/>
  <c r="E59" i="15"/>
  <c r="K58" i="15"/>
  <c r="J58" i="15"/>
  <c r="L58" i="15" s="1"/>
  <c r="N58" i="15" s="1"/>
  <c r="F58" i="15"/>
  <c r="K57" i="15"/>
  <c r="J57" i="15"/>
  <c r="L57" i="15" s="1"/>
  <c r="F57" i="15"/>
  <c r="K56" i="15"/>
  <c r="J56" i="15"/>
  <c r="J59" i="15" s="1"/>
  <c r="F56" i="15"/>
  <c r="K55" i="15"/>
  <c r="J55" i="15"/>
  <c r="L55" i="15" s="1"/>
  <c r="N55" i="15" s="1"/>
  <c r="F55" i="15"/>
  <c r="L54" i="15"/>
  <c r="K54" i="15"/>
  <c r="J54" i="15"/>
  <c r="F54" i="15"/>
  <c r="F59" i="15" s="1"/>
  <c r="F50" i="15"/>
  <c r="E50" i="15"/>
  <c r="K49" i="15"/>
  <c r="J49" i="15"/>
  <c r="F49" i="15"/>
  <c r="L49" i="15" s="1"/>
  <c r="L48" i="15"/>
  <c r="M48" i="15" s="1"/>
  <c r="K48" i="15"/>
  <c r="J48" i="15"/>
  <c r="F48" i="15"/>
  <c r="K47" i="15"/>
  <c r="J47" i="15"/>
  <c r="F47" i="15"/>
  <c r="L47" i="15" s="1"/>
  <c r="K46" i="15"/>
  <c r="J46" i="15"/>
  <c r="M46" i="15" s="1"/>
  <c r="F46" i="15"/>
  <c r="L46" i="15" s="1"/>
  <c r="K45" i="15"/>
  <c r="K50" i="15" s="1"/>
  <c r="J45" i="15"/>
  <c r="M45" i="15" s="1"/>
  <c r="F45" i="15"/>
  <c r="L45" i="15" s="1"/>
  <c r="L50" i="15" s="1"/>
  <c r="K42" i="15"/>
  <c r="E42" i="15"/>
  <c r="K41" i="15"/>
  <c r="J41" i="15"/>
  <c r="M41" i="15" s="1"/>
  <c r="F41" i="15"/>
  <c r="L41" i="15" s="1"/>
  <c r="K40" i="15"/>
  <c r="M40" i="15" s="1"/>
  <c r="J40" i="15"/>
  <c r="F40" i="15"/>
  <c r="L40" i="15" s="1"/>
  <c r="K39" i="15"/>
  <c r="J39" i="15"/>
  <c r="F39" i="15"/>
  <c r="L39" i="15" s="1"/>
  <c r="M39" i="15" s="1"/>
  <c r="O39" i="15" s="1"/>
  <c r="L38" i="15"/>
  <c r="K38" i="15"/>
  <c r="M38" i="15" s="1"/>
  <c r="J38" i="15"/>
  <c r="F38" i="15"/>
  <c r="K37" i="15"/>
  <c r="J37" i="15"/>
  <c r="J42" i="15" s="1"/>
  <c r="F37" i="15"/>
  <c r="F42" i="15" s="1"/>
  <c r="E34" i="15"/>
  <c r="L33" i="15"/>
  <c r="M33" i="15" s="1"/>
  <c r="K33" i="15"/>
  <c r="J33" i="15"/>
  <c r="F33" i="15"/>
  <c r="K32" i="15"/>
  <c r="M32" i="15" s="1"/>
  <c r="J32" i="15"/>
  <c r="F32" i="15"/>
  <c r="L32" i="15" s="1"/>
  <c r="K31" i="15"/>
  <c r="J31" i="15"/>
  <c r="F31" i="15"/>
  <c r="L31" i="15" s="1"/>
  <c r="K30" i="15"/>
  <c r="J30" i="15"/>
  <c r="F30" i="15"/>
  <c r="L30" i="15" s="1"/>
  <c r="M30" i="15" s="1"/>
  <c r="O30" i="15" s="1"/>
  <c r="L29" i="15"/>
  <c r="K29" i="15"/>
  <c r="K34" i="15" s="1"/>
  <c r="J29" i="15"/>
  <c r="J34" i="15" s="1"/>
  <c r="F29" i="15"/>
  <c r="F34" i="15" s="1"/>
  <c r="F26" i="15"/>
  <c r="E26" i="15"/>
  <c r="K25" i="15"/>
  <c r="J25" i="15"/>
  <c r="M25" i="15" s="1"/>
  <c r="F25" i="15"/>
  <c r="L25" i="15" s="1"/>
  <c r="L24" i="15"/>
  <c r="K24" i="15"/>
  <c r="J24" i="15"/>
  <c r="M24" i="15" s="1"/>
  <c r="F24" i="15"/>
  <c r="L23" i="15"/>
  <c r="M23" i="15" s="1"/>
  <c r="O23" i="15" s="1"/>
  <c r="K23" i="15"/>
  <c r="J23" i="15"/>
  <c r="F23" i="15"/>
  <c r="K22" i="15"/>
  <c r="J22" i="15"/>
  <c r="F22" i="15"/>
  <c r="L22" i="15" s="1"/>
  <c r="K21" i="15"/>
  <c r="K26" i="15" s="1"/>
  <c r="J21" i="15"/>
  <c r="F21" i="15"/>
  <c r="L21" i="15" s="1"/>
  <c r="L26" i="15" s="1"/>
  <c r="E18" i="15"/>
  <c r="L17" i="15"/>
  <c r="M17" i="15" s="1"/>
  <c r="O16" i="15" s="1"/>
  <c r="K17" i="15"/>
  <c r="J17" i="15"/>
  <c r="F17" i="15"/>
  <c r="K16" i="15"/>
  <c r="J16" i="15"/>
  <c r="F16" i="15"/>
  <c r="L16" i="15" s="1"/>
  <c r="K15" i="15"/>
  <c r="J15" i="15"/>
  <c r="M15" i="15" s="1"/>
  <c r="F15" i="15"/>
  <c r="L15" i="15" s="1"/>
  <c r="K14" i="15"/>
  <c r="J14" i="15"/>
  <c r="M14" i="15" s="1"/>
  <c r="O14" i="15" s="1"/>
  <c r="F14" i="15"/>
  <c r="L14" i="15" s="1"/>
  <c r="L13" i="15"/>
  <c r="M13" i="15" s="1"/>
  <c r="K13" i="15"/>
  <c r="K18" i="15" s="1"/>
  <c r="J13" i="15"/>
  <c r="J18" i="15" s="1"/>
  <c r="F13" i="15"/>
  <c r="F18" i="15" s="1"/>
  <c r="L18" i="15" s="1"/>
  <c r="K9" i="15"/>
  <c r="E9" i="15"/>
  <c r="K8" i="15"/>
  <c r="J8" i="15"/>
  <c r="F8" i="15"/>
  <c r="L8" i="15" s="1"/>
  <c r="K7" i="15"/>
  <c r="J7" i="15"/>
  <c r="F7" i="15"/>
  <c r="L7" i="15" s="1"/>
  <c r="L6" i="15"/>
  <c r="M6" i="15" s="1"/>
  <c r="K6" i="15"/>
  <c r="J6" i="15"/>
  <c r="F6" i="15"/>
  <c r="K5" i="15"/>
  <c r="J5" i="15"/>
  <c r="M5" i="15" s="1"/>
  <c r="F5" i="15"/>
  <c r="L5" i="15" s="1"/>
  <c r="K4" i="15"/>
  <c r="J4" i="15"/>
  <c r="F4" i="15"/>
  <c r="F9" i="15" s="1"/>
  <c r="L9" i="15" s="1"/>
  <c r="R26" i="12"/>
  <c r="S25" i="12"/>
  <c r="L25" i="12"/>
  <c r="AO24" i="12"/>
  <c r="X24" i="12"/>
  <c r="Y17" i="12" s="1"/>
  <c r="Y24" i="12" s="1"/>
  <c r="S24" i="12"/>
  <c r="L24" i="12"/>
  <c r="C24" i="12"/>
  <c r="AP23" i="12"/>
  <c r="AH23" i="12"/>
  <c r="Y23" i="12"/>
  <c r="S23" i="12"/>
  <c r="L23" i="12"/>
  <c r="D23" i="12"/>
  <c r="AP22" i="12"/>
  <c r="AH22" i="12"/>
  <c r="Y22" i="12"/>
  <c r="S22" i="12"/>
  <c r="L22" i="12"/>
  <c r="D22" i="12"/>
  <c r="AP21" i="12"/>
  <c r="AH21" i="12"/>
  <c r="Y21" i="12"/>
  <c r="S21" i="12"/>
  <c r="L21" i="12"/>
  <c r="D21" i="12"/>
  <c r="AP20" i="12"/>
  <c r="AH20" i="12"/>
  <c r="Y20" i="12"/>
  <c r="S20" i="12"/>
  <c r="L20" i="12"/>
  <c r="D20" i="12"/>
  <c r="AP19" i="12"/>
  <c r="AH19" i="12"/>
  <c r="Y19" i="12"/>
  <c r="S19" i="12"/>
  <c r="S26" i="12" s="1"/>
  <c r="L19" i="12"/>
  <c r="D19" i="12"/>
  <c r="AP18" i="12"/>
  <c r="AH18" i="12"/>
  <c r="Y18" i="12"/>
  <c r="D18" i="12"/>
  <c r="AP17" i="12"/>
  <c r="AP24" i="12" s="1"/>
  <c r="AH17" i="12"/>
  <c r="D17" i="12"/>
  <c r="D24" i="12" s="1"/>
  <c r="E44" i="11"/>
  <c r="D44" i="11"/>
  <c r="C44" i="11"/>
  <c r="B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Q24" i="11"/>
  <c r="P24" i="11"/>
  <c r="K24" i="11"/>
  <c r="J24" i="11"/>
  <c r="F24" i="11"/>
  <c r="F23" i="11"/>
  <c r="F22" i="11"/>
  <c r="F21" i="11"/>
  <c r="F20" i="11"/>
  <c r="F19" i="11"/>
  <c r="Q18" i="11"/>
  <c r="F18" i="11"/>
  <c r="R17" i="11"/>
  <c r="T17" i="11" s="1"/>
  <c r="J17" i="11"/>
  <c r="F17" i="11"/>
  <c r="R16" i="11"/>
  <c r="T16" i="11" s="1"/>
  <c r="L16" i="11"/>
  <c r="K16" i="11"/>
  <c r="M16" i="11" s="1"/>
  <c r="F16" i="11"/>
  <c r="T15" i="11"/>
  <c r="S15" i="11"/>
  <c r="R15" i="11"/>
  <c r="M15" i="11"/>
  <c r="K15" i="11"/>
  <c r="L15" i="11" s="1"/>
  <c r="F15" i="11"/>
  <c r="T14" i="11"/>
  <c r="R14" i="11"/>
  <c r="S14" i="11" s="1"/>
  <c r="L14" i="11"/>
  <c r="K14" i="11"/>
  <c r="M14" i="11" s="1"/>
  <c r="F14" i="11"/>
  <c r="T13" i="11"/>
  <c r="S13" i="11"/>
  <c r="R13" i="11"/>
  <c r="R18" i="11" s="1"/>
  <c r="K13" i="11"/>
  <c r="K17" i="11" s="1"/>
  <c r="F13" i="11"/>
  <c r="F12" i="11"/>
  <c r="F11" i="11"/>
  <c r="F10" i="11"/>
  <c r="Q9" i="11"/>
  <c r="J9" i="11"/>
  <c r="F9" i="11"/>
  <c r="R8" i="11"/>
  <c r="T8" i="11" s="1"/>
  <c r="M8" i="11"/>
  <c r="L8" i="11"/>
  <c r="K8" i="11"/>
  <c r="F8" i="11"/>
  <c r="S7" i="11"/>
  <c r="R7" i="11"/>
  <c r="T7" i="11" s="1"/>
  <c r="K7" i="11"/>
  <c r="M7" i="11" s="1"/>
  <c r="F7" i="11"/>
  <c r="T6" i="11"/>
  <c r="R6" i="11"/>
  <c r="S6" i="11" s="1"/>
  <c r="M6" i="11"/>
  <c r="L6" i="11"/>
  <c r="K6" i="11"/>
  <c r="F6" i="11"/>
  <c r="S5" i="11"/>
  <c r="R5" i="11"/>
  <c r="T5" i="11" s="1"/>
  <c r="K5" i="11"/>
  <c r="M5" i="11" s="1"/>
  <c r="F5" i="11"/>
  <c r="R4" i="11"/>
  <c r="T4" i="11" s="1"/>
  <c r="L4" i="11"/>
  <c r="K4" i="11"/>
  <c r="M4" i="11" s="1"/>
  <c r="F4" i="11"/>
  <c r="T3" i="11"/>
  <c r="S3" i="11"/>
  <c r="R3" i="11"/>
  <c r="R9" i="11" s="1"/>
  <c r="M3" i="11"/>
  <c r="K3" i="11"/>
  <c r="L3" i="11" s="1"/>
  <c r="F3" i="11"/>
  <c r="F2" i="11"/>
  <c r="F44" i="11" s="1"/>
  <c r="K24" i="10"/>
  <c r="N24" i="10" s="1"/>
  <c r="O24" i="10" s="1"/>
  <c r="H24" i="10"/>
  <c r="K23" i="10"/>
  <c r="H23" i="10"/>
  <c r="N23" i="10" s="1"/>
  <c r="K22" i="10"/>
  <c r="H22" i="10"/>
  <c r="N22" i="10" s="1"/>
  <c r="Q21" i="10" s="1"/>
  <c r="K21" i="10"/>
  <c r="K25" i="10" s="1"/>
  <c r="H21" i="10"/>
  <c r="N21" i="10" s="1"/>
  <c r="N20" i="10"/>
  <c r="J20" i="10"/>
  <c r="H20" i="10"/>
  <c r="J19" i="10"/>
  <c r="N19" i="10" s="1"/>
  <c r="H19" i="10"/>
  <c r="J18" i="10"/>
  <c r="J25" i="10" s="1"/>
  <c r="L25" i="10" s="1"/>
  <c r="H18" i="10"/>
  <c r="N18" i="10" s="1"/>
  <c r="G10" i="10"/>
  <c r="O9" i="10"/>
  <c r="P9" i="10" s="1"/>
  <c r="S9" i="10" s="1"/>
  <c r="L9" i="10"/>
  <c r="I9" i="10"/>
  <c r="L8" i="10"/>
  <c r="I8" i="10"/>
  <c r="O8" i="10" s="1"/>
  <c r="P8" i="10" s="1"/>
  <c r="O7" i="10"/>
  <c r="P7" i="10" s="1"/>
  <c r="U6" i="10" s="1"/>
  <c r="L7" i="10"/>
  <c r="I7" i="10"/>
  <c r="L6" i="10"/>
  <c r="I6" i="10"/>
  <c r="O6" i="10" s="1"/>
  <c r="P6" i="10" s="1"/>
  <c r="L5" i="10"/>
  <c r="I5" i="10"/>
  <c r="O5" i="10" s="1"/>
  <c r="P5" i="10" s="1"/>
  <c r="L4" i="10"/>
  <c r="I4" i="10"/>
  <c r="O4" i="10" s="1"/>
  <c r="P4" i="10" s="1"/>
  <c r="O3" i="10"/>
  <c r="P3" i="10" s="1"/>
  <c r="L3" i="10"/>
  <c r="I3" i="10"/>
  <c r="M22" i="9"/>
  <c r="K22" i="9"/>
  <c r="J22" i="9"/>
  <c r="P22" i="9" s="1"/>
  <c r="M21" i="9"/>
  <c r="K21" i="9"/>
  <c r="J21" i="9"/>
  <c r="P21" i="9" s="1"/>
  <c r="S21" i="9" s="1"/>
  <c r="K20" i="9"/>
  <c r="M20" i="9" s="1"/>
  <c r="J20" i="9"/>
  <c r="P20" i="9" s="1"/>
  <c r="M19" i="9"/>
  <c r="M23" i="9" s="1"/>
  <c r="K19" i="9"/>
  <c r="J19" i="9"/>
  <c r="P19" i="9" s="1"/>
  <c r="U18" i="9"/>
  <c r="K18" i="9"/>
  <c r="L18" i="9" s="1"/>
  <c r="P18" i="9" s="1"/>
  <c r="J18" i="9"/>
  <c r="U17" i="9"/>
  <c r="L17" i="9"/>
  <c r="K17" i="9"/>
  <c r="J17" i="9"/>
  <c r="P17" i="9" s="1"/>
  <c r="U16" i="9"/>
  <c r="U21" i="9" s="1"/>
  <c r="K16" i="9"/>
  <c r="L16" i="9" s="1"/>
  <c r="J16" i="9"/>
  <c r="I10" i="9"/>
  <c r="N9" i="9"/>
  <c r="K9" i="9"/>
  <c r="Q9" i="9" s="1"/>
  <c r="R9" i="9" s="1"/>
  <c r="N8" i="9"/>
  <c r="K8" i="9"/>
  <c r="Q8" i="9" s="1"/>
  <c r="R8" i="9" s="1"/>
  <c r="U8" i="9" s="1"/>
  <c r="Q7" i="9"/>
  <c r="R7" i="9" s="1"/>
  <c r="N7" i="9"/>
  <c r="K7" i="9"/>
  <c r="N6" i="9"/>
  <c r="K6" i="9"/>
  <c r="Q6" i="9" s="1"/>
  <c r="R6" i="9" s="1"/>
  <c r="X5" i="9"/>
  <c r="N5" i="9"/>
  <c r="K5" i="9"/>
  <c r="Q5" i="9" s="1"/>
  <c r="R5" i="9" s="1"/>
  <c r="X4" i="9"/>
  <c r="N4" i="9"/>
  <c r="K4" i="9"/>
  <c r="Q4" i="9" s="1"/>
  <c r="R4" i="9" s="1"/>
  <c r="X3" i="9"/>
  <c r="X8" i="9" s="1"/>
  <c r="N3" i="9"/>
  <c r="K3" i="9"/>
  <c r="Q3" i="9" s="1"/>
  <c r="I21" i="6"/>
  <c r="G21" i="6"/>
  <c r="F21" i="6"/>
  <c r="L21" i="6" s="1"/>
  <c r="I20" i="6"/>
  <c r="G20" i="6"/>
  <c r="F20" i="6"/>
  <c r="L20" i="6" s="1"/>
  <c r="M20" i="6" s="1"/>
  <c r="G19" i="6"/>
  <c r="I19" i="6" s="1"/>
  <c r="I22" i="6" s="1"/>
  <c r="F19" i="6"/>
  <c r="L19" i="6" s="1"/>
  <c r="L18" i="6"/>
  <c r="I18" i="6"/>
  <c r="G18" i="6"/>
  <c r="F18" i="6"/>
  <c r="H17" i="6"/>
  <c r="G17" i="6"/>
  <c r="F17" i="6"/>
  <c r="L17" i="6" s="1"/>
  <c r="P16" i="6"/>
  <c r="H16" i="6"/>
  <c r="G16" i="6"/>
  <c r="F16" i="6"/>
  <c r="L16" i="6" s="1"/>
  <c r="L15" i="6"/>
  <c r="H15" i="6"/>
  <c r="H22" i="6" s="1"/>
  <c r="J22" i="6" s="1"/>
  <c r="G15" i="6"/>
  <c r="F15" i="6"/>
  <c r="D10" i="6"/>
  <c r="L9" i="6"/>
  <c r="M9" i="6" s="1"/>
  <c r="I9" i="6"/>
  <c r="F9" i="6"/>
  <c r="I8" i="6"/>
  <c r="F8" i="6"/>
  <c r="L8" i="6" s="1"/>
  <c r="M8" i="6" s="1"/>
  <c r="P8" i="6" s="1"/>
  <c r="M7" i="6"/>
  <c r="L7" i="6"/>
  <c r="I7" i="6"/>
  <c r="F7" i="6"/>
  <c r="I6" i="6"/>
  <c r="F6" i="6"/>
  <c r="L6" i="6" s="1"/>
  <c r="M6" i="6" s="1"/>
  <c r="I5" i="6"/>
  <c r="F5" i="6"/>
  <c r="L5" i="6" s="1"/>
  <c r="M5" i="6" s="1"/>
  <c r="R4" i="6"/>
  <c r="L4" i="6"/>
  <c r="M4" i="6" s="1"/>
  <c r="I4" i="6"/>
  <c r="F4" i="6"/>
  <c r="I3" i="6"/>
  <c r="F3" i="6"/>
  <c r="L3" i="6" s="1"/>
  <c r="C10" i="5"/>
  <c r="H9" i="5"/>
  <c r="E9" i="5"/>
  <c r="K9" i="5" s="1"/>
  <c r="L9" i="5" s="1"/>
  <c r="H8" i="5"/>
  <c r="E8" i="5"/>
  <c r="K8" i="5" s="1"/>
  <c r="L8" i="5" s="1"/>
  <c r="H7" i="5"/>
  <c r="E7" i="5"/>
  <c r="K7" i="5" s="1"/>
  <c r="L7" i="5" s="1"/>
  <c r="O7" i="5" s="1"/>
  <c r="H6" i="5"/>
  <c r="K6" i="5" s="1"/>
  <c r="L6" i="5" s="1"/>
  <c r="E6" i="5"/>
  <c r="R5" i="5"/>
  <c r="K5" i="5"/>
  <c r="L5" i="5" s="1"/>
  <c r="H5" i="5"/>
  <c r="E5" i="5"/>
  <c r="R4" i="5"/>
  <c r="H4" i="5"/>
  <c r="E4" i="5"/>
  <c r="K4" i="5" s="1"/>
  <c r="L4" i="5" s="1"/>
  <c r="R3" i="5"/>
  <c r="R8" i="5" s="1"/>
  <c r="H3" i="5"/>
  <c r="E3" i="5"/>
  <c r="K3" i="5" s="1"/>
  <c r="C10" i="4"/>
  <c r="H9" i="4"/>
  <c r="E9" i="4"/>
  <c r="K9" i="4" s="1"/>
  <c r="L9" i="4" s="1"/>
  <c r="H8" i="4"/>
  <c r="E8" i="4"/>
  <c r="K8" i="4" s="1"/>
  <c r="L8" i="4" s="1"/>
  <c r="H7" i="4"/>
  <c r="E7" i="4"/>
  <c r="K7" i="4" s="1"/>
  <c r="L7" i="4" s="1"/>
  <c r="Q6" i="4"/>
  <c r="K6" i="4"/>
  <c r="L6" i="4" s="1"/>
  <c r="O6" i="4" s="1"/>
  <c r="H6" i="4"/>
  <c r="E6" i="4"/>
  <c r="H5" i="4"/>
  <c r="E5" i="4"/>
  <c r="K5" i="4" s="1"/>
  <c r="L5" i="4" s="1"/>
  <c r="Q4" i="4"/>
  <c r="H4" i="4"/>
  <c r="E4" i="4"/>
  <c r="K4" i="4" s="1"/>
  <c r="L4" i="4" s="1"/>
  <c r="K3" i="4"/>
  <c r="H3" i="4"/>
  <c r="E3" i="4"/>
  <c r="I26" i="1"/>
  <c r="G26" i="1"/>
  <c r="F26" i="1"/>
  <c r="L26" i="1" s="1"/>
  <c r="G25" i="1"/>
  <c r="I25" i="1" s="1"/>
  <c r="F25" i="1"/>
  <c r="G24" i="1"/>
  <c r="I24" i="1" s="1"/>
  <c r="F24" i="1"/>
  <c r="L24" i="1" s="1"/>
  <c r="O23" i="1" s="1"/>
  <c r="G23" i="1"/>
  <c r="I23" i="1" s="1"/>
  <c r="F23" i="1"/>
  <c r="G22" i="1"/>
  <c r="H22" i="1" s="1"/>
  <c r="F22" i="1"/>
  <c r="G21" i="1"/>
  <c r="H21" i="1" s="1"/>
  <c r="L21" i="1" s="1"/>
  <c r="O21" i="1" s="1"/>
  <c r="F21" i="1"/>
  <c r="H20" i="1"/>
  <c r="G20" i="1"/>
  <c r="F20" i="1"/>
  <c r="L20" i="1" s="1"/>
  <c r="D9" i="1"/>
  <c r="I8" i="1"/>
  <c r="F8" i="1"/>
  <c r="L8" i="1" s="1"/>
  <c r="M8" i="1" s="1"/>
  <c r="I7" i="1"/>
  <c r="F7" i="1"/>
  <c r="L7" i="1" s="1"/>
  <c r="M7" i="1" s="1"/>
  <c r="I6" i="1"/>
  <c r="F6" i="1"/>
  <c r="L6" i="1" s="1"/>
  <c r="M6" i="1" s="1"/>
  <c r="I5" i="1"/>
  <c r="F5" i="1"/>
  <c r="L5" i="1" s="1"/>
  <c r="M5" i="1" s="1"/>
  <c r="I4" i="1"/>
  <c r="F4" i="1"/>
  <c r="L4" i="1" s="1"/>
  <c r="M4" i="1" s="1"/>
  <c r="S4" i="1" s="1"/>
  <c r="L3" i="1"/>
  <c r="M3" i="1" s="1"/>
  <c r="I3" i="1"/>
  <c r="F3" i="1"/>
  <c r="L2" i="1"/>
  <c r="I2" i="1"/>
  <c r="F2" i="1"/>
  <c r="E45" i="14"/>
  <c r="D45" i="14"/>
  <c r="C45" i="14"/>
  <c r="F44" i="13"/>
  <c r="E44" i="13"/>
  <c r="D44" i="13"/>
  <c r="C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R24" i="13"/>
  <c r="Q24" i="13"/>
  <c r="L24" i="13"/>
  <c r="K24" i="13"/>
  <c r="G24" i="13"/>
  <c r="G23" i="13"/>
  <c r="G22" i="13"/>
  <c r="G21" i="13"/>
  <c r="G20" i="13"/>
  <c r="G19" i="13"/>
  <c r="R18" i="13"/>
  <c r="G18" i="13"/>
  <c r="S17" i="13"/>
  <c r="U17" i="13" s="1"/>
  <c r="K17" i="13"/>
  <c r="G17" i="13"/>
  <c r="S16" i="13"/>
  <c r="T16" i="13" s="1"/>
  <c r="L16" i="13"/>
  <c r="N16" i="13" s="1"/>
  <c r="G16" i="13"/>
  <c r="S15" i="13"/>
  <c r="U15" i="13" s="1"/>
  <c r="L15" i="13"/>
  <c r="M15" i="13" s="1"/>
  <c r="G15" i="13"/>
  <c r="S14" i="13"/>
  <c r="U14" i="13" s="1"/>
  <c r="L14" i="13"/>
  <c r="M14" i="13" s="1"/>
  <c r="G14" i="13"/>
  <c r="S13" i="13"/>
  <c r="L13" i="13"/>
  <c r="M13" i="13" s="1"/>
  <c r="G13" i="13"/>
  <c r="G12" i="13"/>
  <c r="G11" i="13"/>
  <c r="G10" i="13"/>
  <c r="R9" i="13"/>
  <c r="K9" i="13"/>
  <c r="G9" i="13"/>
  <c r="S8" i="13"/>
  <c r="U8" i="13" s="1"/>
  <c r="L8" i="13"/>
  <c r="N8" i="13" s="1"/>
  <c r="G8" i="13"/>
  <c r="S7" i="13"/>
  <c r="U7" i="13" s="1"/>
  <c r="L7" i="13"/>
  <c r="N7" i="13" s="1"/>
  <c r="G7" i="13"/>
  <c r="S6" i="13"/>
  <c r="T6" i="13" s="1"/>
  <c r="L6" i="13"/>
  <c r="N6" i="13" s="1"/>
  <c r="G6" i="13"/>
  <c r="S5" i="13"/>
  <c r="U5" i="13" s="1"/>
  <c r="L5" i="13"/>
  <c r="N5" i="13" s="1"/>
  <c r="G5" i="13"/>
  <c r="S4" i="13"/>
  <c r="U4" i="13" s="1"/>
  <c r="L4" i="13"/>
  <c r="N4" i="13" s="1"/>
  <c r="G4" i="13"/>
  <c r="S3" i="13"/>
  <c r="N3" i="13"/>
  <c r="G3" i="13"/>
  <c r="G2" i="13"/>
  <c r="S9" i="13" l="1"/>
  <c r="U16" i="13"/>
  <c r="M6" i="13"/>
  <c r="N15" i="13"/>
  <c r="S18" i="13"/>
  <c r="T4" i="13"/>
  <c r="U13" i="13"/>
  <c r="M8" i="13"/>
  <c r="M5" i="13"/>
  <c r="T8" i="13"/>
  <c r="T17" i="13"/>
  <c r="T5" i="13"/>
  <c r="N14" i="13"/>
  <c r="N13" i="13"/>
  <c r="T3" i="13"/>
  <c r="L9" i="13"/>
  <c r="T15" i="13"/>
  <c r="U6" i="13"/>
  <c r="G44" i="13"/>
  <c r="T13" i="13"/>
  <c r="H27" i="1"/>
  <c r="K10" i="4"/>
  <c r="O13" i="15"/>
  <c r="M16" i="15"/>
  <c r="O15" i="15" s="1"/>
  <c r="M21" i="15"/>
  <c r="O5" i="15"/>
  <c r="O9" i="15" s="1"/>
  <c r="L91" i="15"/>
  <c r="N86" i="15"/>
  <c r="N88" i="15" s="1"/>
  <c r="L25" i="1"/>
  <c r="O24" i="1" s="1"/>
  <c r="L3" i="5"/>
  <c r="L10" i="5" s="1"/>
  <c r="K10" i="5"/>
  <c r="P10" i="10"/>
  <c r="U3" i="10"/>
  <c r="U9" i="10" s="1"/>
  <c r="N25" i="10"/>
  <c r="Q18" i="10"/>
  <c r="Q24" i="10" s="1"/>
  <c r="M8" i="15"/>
  <c r="O38" i="15"/>
  <c r="N64" i="15"/>
  <c r="N65" i="15"/>
  <c r="N66" i="15"/>
  <c r="L22" i="1"/>
  <c r="O22" i="1" s="1"/>
  <c r="L22" i="6"/>
  <c r="P16" i="9"/>
  <c r="P23" i="9" s="1"/>
  <c r="L23" i="9"/>
  <c r="N23" i="9" s="1"/>
  <c r="M22" i="15"/>
  <c r="O22" i="15" s="1"/>
  <c r="M31" i="15"/>
  <c r="L10" i="6"/>
  <c r="M3" i="6"/>
  <c r="M4" i="15"/>
  <c r="M9" i="15" s="1"/>
  <c r="O7" i="15"/>
  <c r="O6" i="15"/>
  <c r="M49" i="15"/>
  <c r="O46" i="15" s="1"/>
  <c r="N70" i="15"/>
  <c r="N72" i="15" s="1"/>
  <c r="L75" i="15"/>
  <c r="L9" i="1"/>
  <c r="M50" i="15"/>
  <c r="O45" i="15"/>
  <c r="M17" i="11"/>
  <c r="L17" i="11"/>
  <c r="L34" i="15"/>
  <c r="M47" i="15"/>
  <c r="L83" i="15"/>
  <c r="N78" i="15"/>
  <c r="N81" i="15" s="1"/>
  <c r="R3" i="9"/>
  <c r="R10" i="9" s="1"/>
  <c r="Q10" i="9"/>
  <c r="I27" i="1"/>
  <c r="L23" i="1"/>
  <c r="O20" i="1" s="1"/>
  <c r="O25" i="1" s="1"/>
  <c r="M7" i="15"/>
  <c r="O25" i="15"/>
  <c r="O24" i="15"/>
  <c r="M4" i="13"/>
  <c r="T7" i="13"/>
  <c r="M16" i="13"/>
  <c r="M2" i="1"/>
  <c r="L3" i="4"/>
  <c r="M15" i="6"/>
  <c r="S4" i="11"/>
  <c r="K9" i="11"/>
  <c r="L13" i="11"/>
  <c r="S16" i="11"/>
  <c r="S17" i="11"/>
  <c r="J26" i="15"/>
  <c r="J50" i="15"/>
  <c r="N54" i="15"/>
  <c r="J83" i="15"/>
  <c r="L17" i="13"/>
  <c r="J9" i="15"/>
  <c r="M3" i="13"/>
  <c r="M13" i="11"/>
  <c r="M29" i="15"/>
  <c r="L56" i="15"/>
  <c r="L59" i="15" s="1"/>
  <c r="L7" i="11"/>
  <c r="L37" i="15"/>
  <c r="L42" i="15" s="1"/>
  <c r="M37" i="15"/>
  <c r="J75" i="15"/>
  <c r="O10" i="10"/>
  <c r="L5" i="11"/>
  <c r="S8" i="11"/>
  <c r="L4" i="15"/>
  <c r="J91" i="15"/>
  <c r="U3" i="13"/>
  <c r="M7" i="13"/>
  <c r="T14" i="13"/>
  <c r="L62" i="15"/>
  <c r="O47" i="15" l="1"/>
  <c r="M10" i="6"/>
  <c r="P3" i="6"/>
  <c r="O21" i="15"/>
  <c r="O26" i="15" s="1"/>
  <c r="M26" i="15"/>
  <c r="N59" i="15"/>
  <c r="P17" i="6"/>
  <c r="P15" i="6"/>
  <c r="N57" i="15"/>
  <c r="N56" i="15"/>
  <c r="L10" i="4"/>
  <c r="O3" i="4"/>
  <c r="O17" i="15"/>
  <c r="M9" i="1"/>
  <c r="S2" i="1"/>
  <c r="S7" i="1" s="1"/>
  <c r="M18" i="15"/>
  <c r="N17" i="13"/>
  <c r="M17" i="13"/>
  <c r="O37" i="15"/>
  <c r="O40" i="15" s="1"/>
  <c r="M42" i="15"/>
  <c r="M34" i="15"/>
  <c r="O29" i="15"/>
  <c r="O31" i="15" s="1"/>
  <c r="L67" i="15"/>
  <c r="N62" i="15"/>
  <c r="N67" i="15" s="1"/>
  <c r="L27" i="1"/>
  <c r="J27" i="1"/>
  <c r="P18" i="6" l="1"/>
  <c r="Q5" i="4"/>
  <c r="Q3" i="4"/>
  <c r="Q7" i="4" s="1"/>
  <c r="R5" i="6"/>
  <c r="R3" i="6"/>
  <c r="R6" i="6" s="1"/>
</calcChain>
</file>

<file path=xl/sharedStrings.xml><?xml version="1.0" encoding="utf-8"?>
<sst xmlns="http://schemas.openxmlformats.org/spreadsheetml/2006/main" count="1433" uniqueCount="152">
  <si>
    <t>科目</t>
  </si>
  <si>
    <t>姓名</t>
  </si>
  <si>
    <t>文科质量奖</t>
  </si>
  <si>
    <t>文科进步奖</t>
  </si>
  <si>
    <t>理科质量奖</t>
  </si>
  <si>
    <t>理科进步奖</t>
  </si>
  <si>
    <t>奖励总额</t>
  </si>
  <si>
    <t>政治</t>
  </si>
  <si>
    <t>卢银楷</t>
  </si>
  <si>
    <t>奖项</t>
  </si>
  <si>
    <t>奖金</t>
  </si>
  <si>
    <t>实发</t>
  </si>
  <si>
    <r>
      <rPr>
        <sz val="10"/>
        <color rgb="FFFF0000"/>
        <rFont val="宋体"/>
        <family val="3"/>
        <charset val="134"/>
      </rPr>
      <t>工作量</t>
    </r>
    <r>
      <rPr>
        <sz val="10"/>
        <color rgb="FFFF0000"/>
        <rFont val="Arial"/>
        <family val="2"/>
      </rPr>
      <t>40%</t>
    </r>
  </si>
  <si>
    <r>
      <rPr>
        <sz val="10"/>
        <color rgb="FFFF0000"/>
        <rFont val="宋体"/>
        <family val="3"/>
        <charset val="134"/>
      </rPr>
      <t>贡献奖6</t>
    </r>
    <r>
      <rPr>
        <sz val="10"/>
        <color rgb="FFFF0000"/>
        <rFont val="Arial"/>
        <family val="2"/>
      </rPr>
      <t>0%</t>
    </r>
  </si>
  <si>
    <r>
      <rPr>
        <sz val="10"/>
        <rFont val="宋体"/>
        <family val="3"/>
        <charset val="134"/>
      </rPr>
      <t>工作量</t>
    </r>
    <r>
      <rPr>
        <sz val="10"/>
        <rFont val="Arial"/>
        <family val="2"/>
      </rPr>
      <t>40%</t>
    </r>
  </si>
  <si>
    <t>地理</t>
  </si>
  <si>
    <t>杜基次尔</t>
  </si>
  <si>
    <t>理科语文</t>
  </si>
  <si>
    <t>一等</t>
  </si>
  <si>
    <t>文科语文</t>
  </si>
  <si>
    <t>二等</t>
  </si>
  <si>
    <t>历史</t>
  </si>
  <si>
    <t>赵香才</t>
  </si>
  <si>
    <t>理科数学</t>
  </si>
  <si>
    <t>文科数学</t>
  </si>
  <si>
    <t>语文</t>
  </si>
  <si>
    <t>叶屏</t>
  </si>
  <si>
    <t>理科英语</t>
  </si>
  <si>
    <t>文科英语</t>
  </si>
  <si>
    <t>向美娟</t>
  </si>
  <si>
    <t>理科物理</t>
  </si>
  <si>
    <t>文科政治</t>
  </si>
  <si>
    <t>阙丽萍</t>
  </si>
  <si>
    <t>理科生物</t>
  </si>
  <si>
    <t>文科历史</t>
  </si>
  <si>
    <t>马巫各</t>
  </si>
  <si>
    <t>理科化学</t>
  </si>
  <si>
    <t>三等</t>
  </si>
  <si>
    <t>文科地理</t>
  </si>
  <si>
    <t>胡慧芳</t>
  </si>
  <si>
    <t>合计</t>
  </si>
  <si>
    <t>何光红</t>
  </si>
  <si>
    <t>英语</t>
  </si>
  <si>
    <t>向翠琳</t>
  </si>
  <si>
    <t>张玉婷</t>
  </si>
  <si>
    <t>进步奖项</t>
  </si>
  <si>
    <r>
      <rPr>
        <sz val="10"/>
        <rFont val="Arial"/>
        <family val="2"/>
      </rPr>
      <t>40%</t>
    </r>
    <r>
      <rPr>
        <sz val="10"/>
        <rFont val="宋体"/>
        <family val="3"/>
        <charset val="134"/>
      </rPr>
      <t>同乐奖</t>
    </r>
  </si>
  <si>
    <t>60%贡献奖</t>
  </si>
  <si>
    <t>数学</t>
  </si>
  <si>
    <t>胡付松</t>
  </si>
  <si>
    <t>一等奖</t>
  </si>
  <si>
    <t>胡昌燕</t>
  </si>
  <si>
    <t>三等奖</t>
  </si>
  <si>
    <t xml:space="preserve">文科英语 </t>
  </si>
  <si>
    <t>二等奖</t>
  </si>
  <si>
    <t>赵顺诚</t>
  </si>
  <si>
    <t>金贵</t>
  </si>
  <si>
    <t>朱霞</t>
  </si>
  <si>
    <t>徐万雄</t>
  </si>
  <si>
    <t>程长寿</t>
  </si>
  <si>
    <t>生物</t>
  </si>
  <si>
    <t>卢祥</t>
  </si>
  <si>
    <t>李希</t>
  </si>
  <si>
    <t>教学质量奖</t>
  </si>
  <si>
    <t>实发奖金</t>
  </si>
  <si>
    <t>进步质量奖</t>
  </si>
  <si>
    <t>黄金华</t>
  </si>
  <si>
    <t>理科</t>
  </si>
  <si>
    <t>余玉红</t>
  </si>
  <si>
    <t>文科</t>
  </si>
  <si>
    <t>田友米</t>
  </si>
  <si>
    <t>廖云虹</t>
  </si>
  <si>
    <t>杨建</t>
  </si>
  <si>
    <t>物理</t>
  </si>
  <si>
    <t>郑勇朝</t>
  </si>
  <si>
    <t>兰阿布</t>
  </si>
  <si>
    <t>王玉强</t>
  </si>
  <si>
    <t>谢斌</t>
  </si>
  <si>
    <t>甲阿祝玛</t>
  </si>
  <si>
    <t>罗锐</t>
  </si>
  <si>
    <t>勾中文</t>
  </si>
  <si>
    <t>马勇</t>
  </si>
  <si>
    <t>杨小波</t>
  </si>
  <si>
    <t>周军</t>
  </si>
  <si>
    <t>化学</t>
  </si>
  <si>
    <t>叶仁群</t>
  </si>
  <si>
    <t>郑富全</t>
  </si>
  <si>
    <t>陈文惠</t>
  </si>
  <si>
    <t>高贵勇</t>
  </si>
  <si>
    <t>达娃央初</t>
  </si>
  <si>
    <t>刘厚江</t>
  </si>
  <si>
    <t>刘跃军</t>
  </si>
  <si>
    <t>质量奖</t>
  </si>
  <si>
    <t>进步奖</t>
  </si>
  <si>
    <t>班级</t>
  </si>
  <si>
    <t>排名</t>
  </si>
  <si>
    <t>教学质量40%工作量</t>
  </si>
  <si>
    <t>教学质量60%总数</t>
  </si>
  <si>
    <t>70%比例</t>
  </si>
  <si>
    <t>各班平均分之和</t>
  </si>
  <si>
    <t>班平均分</t>
  </si>
  <si>
    <t>30%比例</t>
  </si>
  <si>
    <t>班校比例和</t>
  </si>
  <si>
    <t>班校比例</t>
  </si>
  <si>
    <t>60%贡献</t>
  </si>
  <si>
    <t>奖金合计</t>
  </si>
  <si>
    <t>上期教师</t>
  </si>
  <si>
    <t>下期教师</t>
  </si>
  <si>
    <t>语文教学质量汇总</t>
  </si>
  <si>
    <r>
      <rPr>
        <sz val="16"/>
        <rFont val="Arial"/>
        <family val="2"/>
      </rPr>
      <t>1</t>
    </r>
    <r>
      <rPr>
        <sz val="16"/>
        <rFont val="宋体"/>
        <family val="3"/>
        <charset val="134"/>
      </rPr>
      <t>0班</t>
    </r>
  </si>
  <si>
    <t>12班</t>
  </si>
  <si>
    <r>
      <rPr>
        <sz val="16"/>
        <rFont val="Arial"/>
        <family val="2"/>
      </rPr>
      <t>1</t>
    </r>
    <r>
      <rPr>
        <sz val="16"/>
        <rFont val="宋体"/>
        <family val="3"/>
        <charset val="134"/>
      </rPr>
      <t>1班</t>
    </r>
  </si>
  <si>
    <r>
      <rPr>
        <sz val="16"/>
        <rFont val="Arial"/>
        <family val="2"/>
      </rPr>
      <t>8</t>
    </r>
    <r>
      <rPr>
        <sz val="16"/>
        <rFont val="宋体"/>
        <family val="3"/>
        <charset val="134"/>
      </rPr>
      <t>班</t>
    </r>
  </si>
  <si>
    <r>
      <rPr>
        <sz val="16"/>
        <rFont val="Arial"/>
        <family val="2"/>
      </rPr>
      <t>7</t>
    </r>
    <r>
      <rPr>
        <sz val="16"/>
        <rFont val="宋体"/>
        <family val="3"/>
        <charset val="134"/>
      </rPr>
      <t>班</t>
    </r>
  </si>
  <si>
    <t>6班</t>
  </si>
  <si>
    <t>9班</t>
  </si>
  <si>
    <t>进步奖40%基础奖</t>
  </si>
  <si>
    <t>基础奖</t>
  </si>
  <si>
    <t>进步奖60%（A)</t>
  </si>
  <si>
    <t>重点班贡献奖A的63%</t>
  </si>
  <si>
    <t>普通班贡献奖 A的37%</t>
  </si>
  <si>
    <t>教学质量60%</t>
  </si>
  <si>
    <t>郑永朝</t>
  </si>
  <si>
    <t>教师</t>
  </si>
  <si>
    <t>平均分之和</t>
  </si>
  <si>
    <r>
      <rPr>
        <sz val="18"/>
        <rFont val="Arial"/>
        <family val="2"/>
      </rPr>
      <t>1</t>
    </r>
    <r>
      <rPr>
        <sz val="18"/>
        <rFont val="宋体"/>
        <family val="3"/>
        <charset val="134"/>
      </rPr>
      <t>1班</t>
    </r>
  </si>
  <si>
    <r>
      <rPr>
        <sz val="18"/>
        <rFont val="Arial"/>
        <family val="2"/>
      </rPr>
      <t>1</t>
    </r>
    <r>
      <rPr>
        <sz val="18"/>
        <rFont val="宋体"/>
        <family val="3"/>
        <charset val="134"/>
      </rPr>
      <t>0班</t>
    </r>
  </si>
  <si>
    <r>
      <rPr>
        <sz val="18"/>
        <rFont val="Arial"/>
        <family val="2"/>
      </rPr>
      <t>7</t>
    </r>
    <r>
      <rPr>
        <sz val="18"/>
        <rFont val="宋体"/>
        <family val="3"/>
        <charset val="134"/>
      </rPr>
      <t>班</t>
    </r>
  </si>
  <si>
    <r>
      <rPr>
        <sz val="18"/>
        <rFont val="Arial"/>
        <family val="2"/>
      </rPr>
      <t>8</t>
    </r>
    <r>
      <rPr>
        <sz val="18"/>
        <rFont val="宋体"/>
        <family val="3"/>
        <charset val="134"/>
      </rPr>
      <t>班</t>
    </r>
  </si>
  <si>
    <t>期末班级</t>
  </si>
  <si>
    <t>平均分和</t>
  </si>
  <si>
    <t>木里县中学2021-2022年下期高二年级文科各学科名次统计表（质量奖）</t>
  </si>
  <si>
    <t>参考人数</t>
  </si>
  <si>
    <t xml:space="preserve">年级平均分 </t>
  </si>
  <si>
    <t>班平均分/年级平均分</t>
  </si>
  <si>
    <t>名次</t>
  </si>
  <si>
    <t>任课教师(上期)</t>
  </si>
  <si>
    <t>任课教师(下期)</t>
  </si>
  <si>
    <t>贡献奖1</t>
  </si>
  <si>
    <t>贡献奖2</t>
  </si>
  <si>
    <t>质量奖合计</t>
  </si>
  <si>
    <t>质量奖合计（教师）</t>
  </si>
  <si>
    <t>2班</t>
  </si>
  <si>
    <t>1班</t>
  </si>
  <si>
    <t>4班</t>
  </si>
  <si>
    <t>5班</t>
  </si>
  <si>
    <t>3班</t>
  </si>
  <si>
    <t xml:space="preserve"> </t>
  </si>
  <si>
    <t>木里县中学2021-2022年下期高二年级文科各学科名次统计表（进步奖）</t>
  </si>
  <si>
    <t>贡献奖</t>
  </si>
  <si>
    <t>进步奖合计</t>
  </si>
  <si>
    <t>进步奖合计（教师）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</si>
</sst>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_ "/>
  </numFmts>
  <fonts count="50" x14ac:knownFonts="1">
    <font>
      <sz val="11"/>
      <color theme="1"/>
      <name val="宋体"/>
      <charset val="134"/>
      <scheme val="minor"/>
    </font>
    <font>
      <sz val="12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name val="仿宋"/>
      <family val="3"/>
      <charset val="134"/>
    </font>
    <font>
      <sz val="16"/>
      <name val="仿宋"/>
      <family val="3"/>
      <charset val="134"/>
    </font>
    <font>
      <sz val="16"/>
      <name val="宋体"/>
      <family val="3"/>
      <charset val="134"/>
    </font>
    <font>
      <sz val="12"/>
      <color rgb="FF000000"/>
      <name val="仿宋"/>
      <family val="3"/>
      <charset val="134"/>
    </font>
    <font>
      <sz val="12"/>
      <name val="宋体"/>
      <family val="3"/>
      <charset val="134"/>
    </font>
    <font>
      <b/>
      <sz val="14"/>
      <color rgb="FF7030A0"/>
      <name val="宋体"/>
      <family val="3"/>
      <charset val="134"/>
    </font>
    <font>
      <b/>
      <sz val="16"/>
      <color rgb="FF7030A0"/>
      <name val="宋体"/>
      <family val="3"/>
      <charset val="134"/>
    </font>
    <font>
      <sz val="16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  <font>
      <sz val="14"/>
      <name val="宋体"/>
      <family val="3"/>
      <charset val="134"/>
    </font>
    <font>
      <sz val="18"/>
      <name val="宋体"/>
      <family val="3"/>
      <charset val="134"/>
    </font>
    <font>
      <sz val="18"/>
      <name val="Arial"/>
      <family val="2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rgb="FFC0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rgb="FF00B0F0"/>
      <name val="宋体"/>
      <family val="3"/>
      <charset val="134"/>
      <scheme val="minor"/>
    </font>
    <font>
      <sz val="11"/>
      <color rgb="FFC00000"/>
      <name val="宋体"/>
      <family val="3"/>
      <charset val="134"/>
    </font>
    <font>
      <sz val="11"/>
      <color rgb="FFC00000"/>
      <name val="等线"/>
      <family val="3"/>
      <charset val="134"/>
    </font>
    <font>
      <sz val="16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sz val="12"/>
      <color theme="1"/>
      <name val="等线"/>
      <family val="3"/>
      <charset val="134"/>
    </font>
    <font>
      <sz val="14"/>
      <color rgb="FFC00000"/>
      <name val="宋体"/>
      <family val="3"/>
      <charset val="134"/>
    </font>
    <font>
      <sz val="12"/>
      <color rgb="FFC00000"/>
      <name val="等线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color rgb="FFFF0000"/>
      <name val="宋体"/>
      <family val="3"/>
      <charset val="134"/>
      <scheme val="minor"/>
    </font>
    <font>
      <sz val="12"/>
      <color rgb="FFC00000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8" fontId="1" fillId="0" borderId="0" xfId="0" applyNumberFormat="1" applyFont="1">
      <alignment vertical="center"/>
    </xf>
    <xf numFmtId="178" fontId="9" fillId="0" borderId="0" xfId="0" applyNumberFormat="1" applyFont="1">
      <alignment vertical="center"/>
    </xf>
    <xf numFmtId="178" fontId="5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4" xfId="0" applyFont="1" applyBorder="1" applyAlignme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78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8" fontId="13" fillId="0" borderId="5" xfId="0" applyNumberFormat="1" applyFont="1" applyBorder="1" applyAlignment="1">
      <alignment horizontal="center" vertical="center"/>
    </xf>
    <xf numFmtId="0" fontId="14" fillId="0" borderId="0" xfId="0" applyFont="1" applyAlignment="1"/>
    <xf numFmtId="178" fontId="14" fillId="0" borderId="0" xfId="0" applyNumberFormat="1" applyFont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178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79" fontId="0" fillId="0" borderId="1" xfId="0" applyNumberFormat="1" applyBorder="1" applyAlignment="1">
      <alignment horizontal="center" vertical="center"/>
    </xf>
    <xf numFmtId="0" fontId="22" fillId="0" borderId="1" xfId="0" applyFont="1" applyBorder="1" applyAlignment="1"/>
    <xf numFmtId="179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179" fontId="0" fillId="0" borderId="1" xfId="0" applyNumberFormat="1" applyBorder="1">
      <alignment vertical="center"/>
    </xf>
    <xf numFmtId="179" fontId="2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78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/>
    <xf numFmtId="0" fontId="26" fillId="0" borderId="1" xfId="0" applyFont="1" applyBorder="1" applyAlignment="1"/>
    <xf numFmtId="0" fontId="25" fillId="0" borderId="1" xfId="0" applyFont="1" applyBorder="1" applyAlignment="1"/>
    <xf numFmtId="9" fontId="14" fillId="0" borderId="1" xfId="0" applyNumberFormat="1" applyFont="1" applyBorder="1" applyAlignment="1">
      <alignment horizontal="center"/>
    </xf>
    <xf numFmtId="9" fontId="22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28" fillId="0" borderId="1" xfId="0" applyFont="1" applyBorder="1">
      <alignment vertical="center"/>
    </xf>
    <xf numFmtId="178" fontId="0" fillId="0" borderId="1" xfId="0" applyNumberFormat="1" applyBorder="1">
      <alignment vertical="center"/>
    </xf>
    <xf numFmtId="179" fontId="29" fillId="0" borderId="1" xfId="0" applyNumberFormat="1" applyFont="1" applyBorder="1">
      <alignment vertical="center"/>
    </xf>
    <xf numFmtId="179" fontId="13" fillId="0" borderId="1" xfId="0" applyNumberFormat="1" applyFont="1" applyBorder="1" applyAlignment="1">
      <alignment horizontal="center" vertical="center"/>
    </xf>
    <xf numFmtId="179" fontId="18" fillId="0" borderId="1" xfId="0" applyNumberFormat="1" applyFont="1" applyBorder="1" applyAlignment="1">
      <alignment horizontal="center"/>
    </xf>
    <xf numFmtId="179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179" fontId="0" fillId="0" borderId="0" xfId="0" applyNumberFormat="1">
      <alignment vertical="center"/>
    </xf>
    <xf numFmtId="0" fontId="23" fillId="0" borderId="1" xfId="0" applyFont="1" applyBorder="1">
      <alignment vertical="center"/>
    </xf>
    <xf numFmtId="0" fontId="11" fillId="0" borderId="2" xfId="0" applyFont="1" applyBorder="1" applyAlignment="1"/>
    <xf numFmtId="0" fontId="28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>
      <alignment vertical="center"/>
    </xf>
    <xf numFmtId="0" fontId="34" fillId="0" borderId="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78" fontId="2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179" fontId="27" fillId="0" borderId="0" xfId="0" applyNumberFormat="1" applyFont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179" fontId="15" fillId="0" borderId="0" xfId="0" applyNumberFormat="1" applyFont="1" applyAlignment="1">
      <alignment horizontal="center"/>
    </xf>
    <xf numFmtId="179" fontId="41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8" fontId="0" fillId="0" borderId="0" xfId="0" applyNumberFormat="1" applyAlignment="1">
      <alignment horizontal="center" vertical="center"/>
    </xf>
    <xf numFmtId="0" fontId="25" fillId="0" borderId="0" xfId="0" applyFont="1" applyAlignment="1">
      <alignment horizontal="center"/>
    </xf>
    <xf numFmtId="178" fontId="13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4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179" fontId="45" fillId="0" borderId="0" xfId="0" applyNumberFormat="1" applyFont="1" applyAlignment="1">
      <alignment horizontal="center" vertical="center"/>
    </xf>
    <xf numFmtId="179" fontId="29" fillId="0" borderId="0" xfId="0" applyNumberFormat="1" applyFont="1" applyAlignment="1">
      <alignment horizontal="center" vertical="center"/>
    </xf>
    <xf numFmtId="0" fontId="46" fillId="0" borderId="1" xfId="0" applyFont="1" applyBorder="1" applyAlignment="1">
      <alignment horizontal="center"/>
    </xf>
    <xf numFmtId="178" fontId="0" fillId="0" borderId="0" xfId="0" applyNumberFormat="1">
      <alignment vertical="center"/>
    </xf>
    <xf numFmtId="179" fontId="29" fillId="0" borderId="0" xfId="0" applyNumberFormat="1" applyFont="1">
      <alignment vertical="center"/>
    </xf>
    <xf numFmtId="0" fontId="47" fillId="0" borderId="1" xfId="0" applyFont="1" applyBorder="1" applyAlignment="1">
      <alignment horizontal="center" vertical="center"/>
    </xf>
    <xf numFmtId="179" fontId="47" fillId="0" borderId="1" xfId="0" applyNumberFormat="1" applyFont="1" applyBorder="1" applyAlignment="1">
      <alignment horizontal="center" vertical="center"/>
    </xf>
    <xf numFmtId="179" fontId="48" fillId="0" borderId="1" xfId="0" applyNumberFormat="1" applyFont="1" applyBorder="1" applyAlignment="1">
      <alignment horizontal="center" vertical="center"/>
    </xf>
    <xf numFmtId="179" fontId="39" fillId="0" borderId="1" xfId="0" applyNumberFormat="1" applyFont="1" applyBorder="1" applyAlignment="1">
      <alignment horizontal="center" vertical="center"/>
    </xf>
    <xf numFmtId="178" fontId="47" fillId="0" borderId="1" xfId="0" applyNumberFormat="1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workbookViewId="0">
      <selection activeCell="M37" sqref="M37"/>
    </sheetView>
  </sheetViews>
  <sheetFormatPr defaultColWidth="9" defaultRowHeight="13.5" x14ac:dyDescent="0.15"/>
  <cols>
    <col min="1" max="1" width="6.25" customWidth="1"/>
    <col min="2" max="2" width="11.75" customWidth="1"/>
    <col min="3" max="3" width="17.75" customWidth="1"/>
    <col min="4" max="4" width="13.875" customWidth="1"/>
    <col min="5" max="5" width="15.125" customWidth="1"/>
    <col min="6" max="6" width="12.5" customWidth="1"/>
    <col min="7" max="7" width="17.25" customWidth="1"/>
  </cols>
  <sheetData>
    <row r="1" spans="1:21" ht="14.25" x14ac:dyDescent="0.15">
      <c r="A1" s="82" t="s">
        <v>0</v>
      </c>
      <c r="B1" s="140" t="s">
        <v>1</v>
      </c>
      <c r="C1" s="144" t="s">
        <v>2</v>
      </c>
      <c r="D1" s="140" t="s">
        <v>3</v>
      </c>
      <c r="E1" s="140" t="s">
        <v>4</v>
      </c>
      <c r="F1" s="140" t="s">
        <v>5</v>
      </c>
      <c r="G1" s="140" t="s">
        <v>6</v>
      </c>
    </row>
    <row r="2" spans="1:21" ht="18.75" x14ac:dyDescent="0.2">
      <c r="A2" s="76" t="s">
        <v>7</v>
      </c>
      <c r="B2" s="55" t="s">
        <v>8</v>
      </c>
      <c r="C2" s="56">
        <v>11908.4183193467</v>
      </c>
      <c r="D2" s="56">
        <v>4804.8</v>
      </c>
      <c r="E2" s="56"/>
      <c r="F2" s="56"/>
      <c r="G2" s="56">
        <f t="shared" ref="G2:G43" si="0">C2+D2+E2+F2</f>
        <v>16713.218319346699</v>
      </c>
      <c r="I2" s="57" t="s">
        <v>0</v>
      </c>
      <c r="J2" s="57" t="s">
        <v>9</v>
      </c>
      <c r="K2" s="57" t="s">
        <v>10</v>
      </c>
      <c r="L2" s="57" t="s">
        <v>11</v>
      </c>
      <c r="M2" s="66" t="s">
        <v>12</v>
      </c>
      <c r="N2" s="66" t="s">
        <v>13</v>
      </c>
      <c r="P2" s="57" t="s">
        <v>0</v>
      </c>
      <c r="Q2" s="57" t="s">
        <v>9</v>
      </c>
      <c r="R2" s="57" t="s">
        <v>10</v>
      </c>
      <c r="S2" s="66" t="s">
        <v>11</v>
      </c>
      <c r="T2" s="57" t="s">
        <v>14</v>
      </c>
      <c r="U2" s="66" t="s">
        <v>13</v>
      </c>
    </row>
    <row r="3" spans="1:21" ht="18.75" x14ac:dyDescent="0.2">
      <c r="A3" s="76" t="s">
        <v>15</v>
      </c>
      <c r="B3" s="55" t="s">
        <v>16</v>
      </c>
      <c r="C3" s="56">
        <v>8235.0066716086003</v>
      </c>
      <c r="D3" s="56">
        <v>7596</v>
      </c>
      <c r="E3" s="56"/>
      <c r="F3" s="56"/>
      <c r="G3" s="56">
        <f t="shared" si="0"/>
        <v>15831.0066716086</v>
      </c>
      <c r="I3" s="57" t="s">
        <v>17</v>
      </c>
      <c r="J3" s="57" t="s">
        <v>18</v>
      </c>
      <c r="K3" s="58">
        <v>30000</v>
      </c>
      <c r="L3" s="58">
        <f>K3*0.8</f>
        <v>24000</v>
      </c>
      <c r="M3" s="67">
        <f t="shared" ref="M3:M8" si="1">L3*40%</f>
        <v>9600</v>
      </c>
      <c r="N3" s="68">
        <f t="shared" ref="N3:N8" si="2">L3*0.6</f>
        <v>14400</v>
      </c>
      <c r="P3" s="57" t="s">
        <v>19</v>
      </c>
      <c r="Q3" s="57" t="s">
        <v>20</v>
      </c>
      <c r="R3" s="58">
        <v>20000</v>
      </c>
      <c r="S3" s="67">
        <f t="shared" ref="S3:S8" si="3">R3*0.8</f>
        <v>16000</v>
      </c>
      <c r="T3" s="58">
        <f t="shared" ref="T3:T8" si="4">S3*0.4</f>
        <v>6400</v>
      </c>
      <c r="U3" s="58">
        <f t="shared" ref="U3:U8" si="5">S3*0.6</f>
        <v>9600</v>
      </c>
    </row>
    <row r="4" spans="1:21" ht="18.75" x14ac:dyDescent="0.2">
      <c r="A4" s="76" t="s">
        <v>21</v>
      </c>
      <c r="B4" s="55" t="s">
        <v>22</v>
      </c>
      <c r="C4" s="56">
        <v>9934.1331733653296</v>
      </c>
      <c r="D4" s="56">
        <v>4149.2</v>
      </c>
      <c r="E4" s="56"/>
      <c r="F4" s="56"/>
      <c r="G4" s="56">
        <f t="shared" si="0"/>
        <v>14083.333173365329</v>
      </c>
      <c r="I4" s="57" t="s">
        <v>23</v>
      </c>
      <c r="J4" s="57" t="s">
        <v>18</v>
      </c>
      <c r="K4" s="58">
        <v>30000</v>
      </c>
      <c r="L4" s="58">
        <f t="shared" ref="L4:L8" si="6">K4*0.8</f>
        <v>24000</v>
      </c>
      <c r="M4" s="67">
        <f t="shared" si="1"/>
        <v>9600</v>
      </c>
      <c r="N4" s="68">
        <f t="shared" si="2"/>
        <v>14400</v>
      </c>
      <c r="P4" s="57" t="s">
        <v>24</v>
      </c>
      <c r="Q4" s="57" t="s">
        <v>20</v>
      </c>
      <c r="R4" s="58">
        <v>20000</v>
      </c>
      <c r="S4" s="67">
        <f t="shared" si="3"/>
        <v>16000</v>
      </c>
      <c r="T4" s="58">
        <f t="shared" si="4"/>
        <v>6400</v>
      </c>
      <c r="U4" s="58">
        <f t="shared" si="5"/>
        <v>9600</v>
      </c>
    </row>
    <row r="5" spans="1:21" ht="18.75" x14ac:dyDescent="0.2">
      <c r="A5" s="76" t="s">
        <v>25</v>
      </c>
      <c r="B5" s="55" t="s">
        <v>26</v>
      </c>
      <c r="C5" s="56">
        <v>6411.9154784401298</v>
      </c>
      <c r="D5" s="56">
        <v>6304</v>
      </c>
      <c r="E5" s="56"/>
      <c r="F5" s="56"/>
      <c r="G5" s="56">
        <f t="shared" si="0"/>
        <v>12715.915478440129</v>
      </c>
      <c r="I5" s="58" t="s">
        <v>27</v>
      </c>
      <c r="J5" s="57" t="s">
        <v>20</v>
      </c>
      <c r="K5" s="58">
        <v>20000</v>
      </c>
      <c r="L5" s="58">
        <f t="shared" si="6"/>
        <v>16000</v>
      </c>
      <c r="M5" s="67">
        <f t="shared" si="1"/>
        <v>6400</v>
      </c>
      <c r="N5" s="68">
        <f t="shared" si="2"/>
        <v>9600</v>
      </c>
      <c r="P5" s="58" t="s">
        <v>28</v>
      </c>
      <c r="Q5" s="57" t="s">
        <v>20</v>
      </c>
      <c r="R5" s="58">
        <v>20000</v>
      </c>
      <c r="S5" s="67">
        <f t="shared" si="3"/>
        <v>16000</v>
      </c>
      <c r="T5" s="58">
        <f t="shared" si="4"/>
        <v>6400</v>
      </c>
      <c r="U5" s="58">
        <f t="shared" si="5"/>
        <v>9600</v>
      </c>
    </row>
    <row r="6" spans="1:21" ht="18.75" x14ac:dyDescent="0.25">
      <c r="A6" s="76" t="s">
        <v>25</v>
      </c>
      <c r="B6" s="59" t="s">
        <v>29</v>
      </c>
      <c r="C6" s="60"/>
      <c r="D6" s="60"/>
      <c r="E6" s="60">
        <v>6972.87422273831</v>
      </c>
      <c r="F6" s="60">
        <v>5707.9314285714199</v>
      </c>
      <c r="G6" s="56">
        <f t="shared" si="0"/>
        <v>12680.805651309729</v>
      </c>
      <c r="I6" s="57" t="s">
        <v>30</v>
      </c>
      <c r="J6" s="57" t="s">
        <v>20</v>
      </c>
      <c r="K6" s="58">
        <v>17000</v>
      </c>
      <c r="L6" s="58">
        <f t="shared" si="6"/>
        <v>13600</v>
      </c>
      <c r="M6" s="67">
        <f t="shared" si="1"/>
        <v>5440</v>
      </c>
      <c r="N6" s="68">
        <f t="shared" si="2"/>
        <v>8160</v>
      </c>
      <c r="P6" s="57" t="s">
        <v>31</v>
      </c>
      <c r="Q6" s="57" t="s">
        <v>18</v>
      </c>
      <c r="R6" s="58">
        <v>25000</v>
      </c>
      <c r="S6" s="67">
        <f t="shared" si="3"/>
        <v>20000</v>
      </c>
      <c r="T6" s="58">
        <f t="shared" si="4"/>
        <v>8000</v>
      </c>
      <c r="U6" s="58">
        <f t="shared" si="5"/>
        <v>12000</v>
      </c>
    </row>
    <row r="7" spans="1:21" ht="18.75" x14ac:dyDescent="0.2">
      <c r="A7" s="76" t="s">
        <v>25</v>
      </c>
      <c r="B7" s="55" t="s">
        <v>32</v>
      </c>
      <c r="C7" s="56">
        <v>3279.2441161312499</v>
      </c>
      <c r="D7" s="56">
        <v>3920</v>
      </c>
      <c r="E7" s="60">
        <v>3317.9598277774699</v>
      </c>
      <c r="F7" s="60">
        <v>1624.68571428571</v>
      </c>
      <c r="G7" s="56">
        <f t="shared" si="0"/>
        <v>12141.88965819443</v>
      </c>
      <c r="I7" s="57" t="s">
        <v>33</v>
      </c>
      <c r="J7" s="57" t="s">
        <v>20</v>
      </c>
      <c r="K7" s="58">
        <v>17000</v>
      </c>
      <c r="L7" s="58">
        <f t="shared" si="6"/>
        <v>13600</v>
      </c>
      <c r="M7" s="67">
        <f t="shared" si="1"/>
        <v>5440</v>
      </c>
      <c r="N7" s="68">
        <f t="shared" si="2"/>
        <v>8160</v>
      </c>
      <c r="P7" s="57" t="s">
        <v>34</v>
      </c>
      <c r="Q7" s="57" t="s">
        <v>18</v>
      </c>
      <c r="R7" s="58">
        <v>25000</v>
      </c>
      <c r="S7" s="67">
        <f t="shared" si="3"/>
        <v>20000</v>
      </c>
      <c r="T7" s="58">
        <f t="shared" si="4"/>
        <v>8000</v>
      </c>
      <c r="U7" s="58">
        <f t="shared" si="5"/>
        <v>12000</v>
      </c>
    </row>
    <row r="8" spans="1:21" ht="18.75" x14ac:dyDescent="0.2">
      <c r="A8" s="76" t="s">
        <v>7</v>
      </c>
      <c r="B8" s="55" t="s">
        <v>35</v>
      </c>
      <c r="C8" s="56">
        <v>8091.5816806532903</v>
      </c>
      <c r="D8" s="56">
        <v>3995.2</v>
      </c>
      <c r="E8" s="56"/>
      <c r="F8" s="56"/>
      <c r="G8" s="56">
        <f t="shared" si="0"/>
        <v>12086.78168065329</v>
      </c>
      <c r="I8" s="58" t="s">
        <v>36</v>
      </c>
      <c r="J8" s="57" t="s">
        <v>37</v>
      </c>
      <c r="K8" s="58">
        <v>8000</v>
      </c>
      <c r="L8" s="58">
        <f t="shared" si="6"/>
        <v>6400</v>
      </c>
      <c r="M8" s="67">
        <f t="shared" si="1"/>
        <v>2560</v>
      </c>
      <c r="N8" s="68">
        <f t="shared" si="2"/>
        <v>3840</v>
      </c>
      <c r="P8" s="58" t="s">
        <v>38</v>
      </c>
      <c r="Q8" s="57" t="s">
        <v>20</v>
      </c>
      <c r="R8" s="58">
        <v>17000</v>
      </c>
      <c r="S8" s="67">
        <f t="shared" si="3"/>
        <v>13600</v>
      </c>
      <c r="T8" s="58">
        <f t="shared" si="4"/>
        <v>5440</v>
      </c>
      <c r="U8" s="58">
        <f t="shared" si="5"/>
        <v>8160</v>
      </c>
    </row>
    <row r="9" spans="1:21" ht="18.75" x14ac:dyDescent="0.2">
      <c r="A9" s="76" t="s">
        <v>21</v>
      </c>
      <c r="B9" s="55" t="s">
        <v>39</v>
      </c>
      <c r="C9" s="56">
        <v>8075.5848830233999</v>
      </c>
      <c r="D9" s="56">
        <v>3731.2</v>
      </c>
      <c r="E9" s="56"/>
      <c r="F9" s="56"/>
      <c r="G9" s="56">
        <f t="shared" si="0"/>
        <v>11806.7848830234</v>
      </c>
      <c r="I9" s="61" t="s">
        <v>40</v>
      </c>
      <c r="J9" s="69"/>
      <c r="K9" s="69">
        <f>SUM(K3:K8)</f>
        <v>122000</v>
      </c>
      <c r="L9" s="70">
        <f>SUM(L3:L8)</f>
        <v>97600</v>
      </c>
      <c r="M9" s="71"/>
      <c r="N9" s="69"/>
      <c r="P9" s="69"/>
      <c r="Q9" s="69"/>
      <c r="R9" s="69">
        <f>SUM(R3:R8)</f>
        <v>127000</v>
      </c>
      <c r="S9" s="71">
        <f>SUM(S3:S8)</f>
        <v>101600</v>
      </c>
      <c r="T9" s="69"/>
      <c r="U9" s="69"/>
    </row>
    <row r="10" spans="1:21" ht="18.75" x14ac:dyDescent="0.15">
      <c r="A10" s="76" t="s">
        <v>25</v>
      </c>
      <c r="B10" s="55" t="s">
        <v>41</v>
      </c>
      <c r="C10" s="56">
        <v>3140.2989177117302</v>
      </c>
      <c r="D10" s="56">
        <v>2432</v>
      </c>
      <c r="E10" s="60">
        <v>3336.3766986800201</v>
      </c>
      <c r="F10" s="60">
        <v>1944.3657142857101</v>
      </c>
      <c r="G10" s="56">
        <f t="shared" si="0"/>
        <v>10853.041330677461</v>
      </c>
    </row>
    <row r="11" spans="1:21" ht="18.75" x14ac:dyDescent="0.15">
      <c r="A11" s="76" t="s">
        <v>42</v>
      </c>
      <c r="B11" s="55" t="s">
        <v>43</v>
      </c>
      <c r="C11" s="56">
        <v>6021.2226734160304</v>
      </c>
      <c r="D11" s="56">
        <v>4656</v>
      </c>
      <c r="E11" s="56"/>
      <c r="F11" s="56"/>
      <c r="G11" s="56">
        <f t="shared" si="0"/>
        <v>10677.22267341603</v>
      </c>
    </row>
    <row r="12" spans="1:21" ht="18.75" x14ac:dyDescent="0.25">
      <c r="A12" s="76" t="s">
        <v>25</v>
      </c>
      <c r="B12" s="59" t="s">
        <v>44</v>
      </c>
      <c r="C12" s="60"/>
      <c r="D12" s="60"/>
      <c r="E12" s="60">
        <v>6821.5164577780997</v>
      </c>
      <c r="F12" s="60">
        <v>3812.89142857142</v>
      </c>
      <c r="G12" s="56">
        <f t="shared" si="0"/>
        <v>10634.40788634952</v>
      </c>
      <c r="I12" s="57" t="s">
        <v>0</v>
      </c>
      <c r="J12" s="57" t="s">
        <v>45</v>
      </c>
      <c r="K12" s="57" t="s">
        <v>10</v>
      </c>
      <c r="L12" s="57" t="s">
        <v>11</v>
      </c>
      <c r="M12" s="72" t="s">
        <v>46</v>
      </c>
      <c r="N12" s="73" t="s">
        <v>47</v>
      </c>
      <c r="P12" s="57" t="s">
        <v>0</v>
      </c>
      <c r="Q12" s="57" t="s">
        <v>45</v>
      </c>
      <c r="R12" s="57" t="s">
        <v>10</v>
      </c>
      <c r="S12" s="57" t="s">
        <v>11</v>
      </c>
      <c r="T12" s="72" t="s">
        <v>46</v>
      </c>
      <c r="U12" s="73" t="s">
        <v>47</v>
      </c>
    </row>
    <row r="13" spans="1:21" ht="18.75" x14ac:dyDescent="0.25">
      <c r="A13" s="76" t="s">
        <v>48</v>
      </c>
      <c r="B13" s="59" t="s">
        <v>49</v>
      </c>
      <c r="C13" s="60"/>
      <c r="D13" s="60"/>
      <c r="E13" s="60">
        <v>7081.2852463247</v>
      </c>
      <c r="F13" s="60">
        <v>2853.96571428571</v>
      </c>
      <c r="G13" s="56">
        <f t="shared" si="0"/>
        <v>9935.2509606104104</v>
      </c>
      <c r="I13" s="58" t="s">
        <v>17</v>
      </c>
      <c r="J13" s="57" t="s">
        <v>50</v>
      </c>
      <c r="K13" s="58">
        <v>20000</v>
      </c>
      <c r="L13" s="58">
        <f t="shared" ref="L13:L16" si="7">K13*0.8</f>
        <v>16000</v>
      </c>
      <c r="M13" s="58">
        <f t="shared" ref="M13:M17" si="8">L13*0.4</f>
        <v>6400</v>
      </c>
      <c r="N13" s="58">
        <f t="shared" ref="N13:N17" si="9">L13*0.6</f>
        <v>9600</v>
      </c>
      <c r="P13" s="58" t="s">
        <v>19</v>
      </c>
      <c r="Q13" s="57" t="s">
        <v>50</v>
      </c>
      <c r="R13" s="58">
        <v>20000</v>
      </c>
      <c r="S13" s="58">
        <f t="shared" ref="S13:S17" si="10">R13*0.8</f>
        <v>16000</v>
      </c>
      <c r="T13" s="75">
        <f t="shared" ref="T13:T17" si="11">S13*0.4</f>
        <v>6400</v>
      </c>
      <c r="U13" s="75">
        <f t="shared" ref="U13:U17" si="12">S13*0.6</f>
        <v>9600</v>
      </c>
    </row>
    <row r="14" spans="1:21" ht="18.75" x14ac:dyDescent="0.2">
      <c r="A14" s="76" t="s">
        <v>42</v>
      </c>
      <c r="B14" s="55" t="s">
        <v>51</v>
      </c>
      <c r="C14" s="56">
        <v>3681.4685431384501</v>
      </c>
      <c r="D14" s="56">
        <v>2940</v>
      </c>
      <c r="E14" s="60">
        <v>2196.8555461718702</v>
      </c>
      <c r="F14" s="60">
        <v>1096.50285714286</v>
      </c>
      <c r="G14" s="56">
        <f t="shared" si="0"/>
        <v>9914.8269464531786</v>
      </c>
      <c r="I14" s="58" t="s">
        <v>23</v>
      </c>
      <c r="J14" s="57" t="s">
        <v>52</v>
      </c>
      <c r="K14" s="58">
        <v>10000</v>
      </c>
      <c r="L14" s="58">
        <f t="shared" si="7"/>
        <v>8000</v>
      </c>
      <c r="M14" s="58">
        <f t="shared" si="8"/>
        <v>3200</v>
      </c>
      <c r="N14" s="58">
        <f t="shared" si="9"/>
        <v>4800</v>
      </c>
      <c r="P14" s="58" t="s">
        <v>53</v>
      </c>
      <c r="Q14" s="57" t="s">
        <v>54</v>
      </c>
      <c r="R14" s="75">
        <v>15000</v>
      </c>
      <c r="S14" s="58">
        <f t="shared" si="10"/>
        <v>12000</v>
      </c>
      <c r="T14" s="75">
        <f t="shared" si="11"/>
        <v>4800</v>
      </c>
      <c r="U14" s="75">
        <f t="shared" si="12"/>
        <v>7200</v>
      </c>
    </row>
    <row r="15" spans="1:21" ht="18.75" x14ac:dyDescent="0.2">
      <c r="A15" s="76" t="s">
        <v>42</v>
      </c>
      <c r="B15" s="55" t="s">
        <v>55</v>
      </c>
      <c r="C15" s="56">
        <v>3505.7773822106001</v>
      </c>
      <c r="D15" s="56">
        <v>2580</v>
      </c>
      <c r="E15" s="60">
        <v>2573.8865121240301</v>
      </c>
      <c r="F15" s="60">
        <v>1182.9028571428601</v>
      </c>
      <c r="G15" s="56">
        <f t="shared" si="0"/>
        <v>9842.5667514774905</v>
      </c>
      <c r="I15" s="58" t="s">
        <v>27</v>
      </c>
      <c r="J15" s="57" t="s">
        <v>52</v>
      </c>
      <c r="K15" s="58">
        <v>10000</v>
      </c>
      <c r="L15" s="58">
        <f t="shared" si="7"/>
        <v>8000</v>
      </c>
      <c r="M15" s="58">
        <f t="shared" si="8"/>
        <v>3200</v>
      </c>
      <c r="N15" s="58">
        <f t="shared" si="9"/>
        <v>4800</v>
      </c>
      <c r="P15" s="58" t="s">
        <v>38</v>
      </c>
      <c r="Q15" s="57" t="s">
        <v>50</v>
      </c>
      <c r="R15" s="75">
        <v>15000</v>
      </c>
      <c r="S15" s="58">
        <f t="shared" si="10"/>
        <v>12000</v>
      </c>
      <c r="T15" s="75">
        <f t="shared" si="11"/>
        <v>4800</v>
      </c>
      <c r="U15" s="75">
        <f t="shared" si="12"/>
        <v>7200</v>
      </c>
    </row>
    <row r="16" spans="1:21" ht="18.75" x14ac:dyDescent="0.2">
      <c r="A16" s="76" t="s">
        <v>15</v>
      </c>
      <c r="B16" s="55" t="s">
        <v>56</v>
      </c>
      <c r="C16" s="56">
        <v>5364.9933283913997</v>
      </c>
      <c r="D16" s="56">
        <v>4404</v>
      </c>
      <c r="E16" s="56"/>
      <c r="F16" s="56"/>
      <c r="G16" s="56">
        <f t="shared" si="0"/>
        <v>9768.9933283913997</v>
      </c>
      <c r="I16" s="58" t="s">
        <v>33</v>
      </c>
      <c r="J16" s="57" t="s">
        <v>52</v>
      </c>
      <c r="K16" s="58">
        <v>7000</v>
      </c>
      <c r="L16" s="58">
        <f t="shared" si="7"/>
        <v>5600</v>
      </c>
      <c r="M16" s="58">
        <f t="shared" si="8"/>
        <v>2240</v>
      </c>
      <c r="N16" s="58">
        <f t="shared" si="9"/>
        <v>3360</v>
      </c>
      <c r="P16" s="58" t="s">
        <v>31</v>
      </c>
      <c r="Q16" s="58" t="s">
        <v>54</v>
      </c>
      <c r="R16" s="58">
        <v>11000</v>
      </c>
      <c r="S16" s="58">
        <f t="shared" si="10"/>
        <v>8800</v>
      </c>
      <c r="T16" s="75">
        <f t="shared" si="11"/>
        <v>3520</v>
      </c>
      <c r="U16" s="75">
        <f t="shared" si="12"/>
        <v>5280</v>
      </c>
    </row>
    <row r="17" spans="1:21" ht="18.75" x14ac:dyDescent="0.2">
      <c r="A17" s="76" t="s">
        <v>25</v>
      </c>
      <c r="B17" s="55" t="s">
        <v>57</v>
      </c>
      <c r="C17" s="56">
        <v>1584.27074385844</v>
      </c>
      <c r="D17" s="56">
        <v>1672</v>
      </c>
      <c r="E17" s="60">
        <v>3551.1966122342801</v>
      </c>
      <c r="F17" s="60">
        <v>2910.1257142857098</v>
      </c>
      <c r="G17" s="56">
        <f t="shared" si="0"/>
        <v>9717.5930703784306</v>
      </c>
      <c r="I17" s="57" t="s">
        <v>40</v>
      </c>
      <c r="J17" s="58"/>
      <c r="K17" s="58">
        <f>SUM(K13:K16)</f>
        <v>47000</v>
      </c>
      <c r="L17" s="74">
        <f>SUM(L13:L16)</f>
        <v>37600</v>
      </c>
      <c r="M17" s="58">
        <f t="shared" si="8"/>
        <v>15040</v>
      </c>
      <c r="N17" s="58">
        <f t="shared" si="9"/>
        <v>22560</v>
      </c>
      <c r="P17" s="58" t="s">
        <v>34</v>
      </c>
      <c r="Q17" s="58" t="s">
        <v>54</v>
      </c>
      <c r="R17" s="58">
        <v>11000</v>
      </c>
      <c r="S17" s="58">
        <f t="shared" si="10"/>
        <v>8800</v>
      </c>
      <c r="T17" s="75">
        <f t="shared" si="11"/>
        <v>3520</v>
      </c>
      <c r="U17" s="75">
        <f t="shared" si="12"/>
        <v>5280</v>
      </c>
    </row>
    <row r="18" spans="1:21" ht="18.75" x14ac:dyDescent="0.25">
      <c r="A18" s="76" t="s">
        <v>48</v>
      </c>
      <c r="B18" s="59" t="s">
        <v>58</v>
      </c>
      <c r="C18" s="60"/>
      <c r="D18" s="60"/>
      <c r="E18" s="60">
        <v>6880.0118710330698</v>
      </c>
      <c r="F18" s="60">
        <v>2155.0857142857099</v>
      </c>
      <c r="G18" s="56">
        <f t="shared" si="0"/>
        <v>9035.0975853187792</v>
      </c>
      <c r="P18" s="69"/>
      <c r="Q18" s="69"/>
      <c r="R18" s="69">
        <f>SUM(R13:R17)</f>
        <v>72000</v>
      </c>
      <c r="S18" s="70">
        <f>SUM(S13:S17)</f>
        <v>57600</v>
      </c>
      <c r="T18" s="76"/>
      <c r="U18" s="76"/>
    </row>
    <row r="19" spans="1:21" ht="18.75" x14ac:dyDescent="0.25">
      <c r="A19" s="76" t="s">
        <v>42</v>
      </c>
      <c r="B19" s="59" t="s">
        <v>59</v>
      </c>
      <c r="C19" s="60"/>
      <c r="D19" s="60"/>
      <c r="E19" s="60">
        <v>5281.4241093286601</v>
      </c>
      <c r="F19" s="60">
        <v>3212.5257142857099</v>
      </c>
      <c r="G19" s="56">
        <f t="shared" si="0"/>
        <v>8493.94982361437</v>
      </c>
    </row>
    <row r="20" spans="1:21" ht="18.75" x14ac:dyDescent="0.25">
      <c r="A20" s="76" t="s">
        <v>60</v>
      </c>
      <c r="B20" s="62" t="s">
        <v>61</v>
      </c>
      <c r="C20" s="60"/>
      <c r="D20" s="60"/>
      <c r="E20" s="60">
        <v>5678.1067572657303</v>
      </c>
      <c r="F20" s="60">
        <v>2015.04</v>
      </c>
      <c r="G20" s="56">
        <f t="shared" si="0"/>
        <v>7693.1467572657302</v>
      </c>
    </row>
    <row r="21" spans="1:21" ht="18.75" x14ac:dyDescent="0.15">
      <c r="A21" s="76" t="s">
        <v>48</v>
      </c>
      <c r="B21" s="55" t="s">
        <v>62</v>
      </c>
      <c r="C21" s="56">
        <v>3356.9245384590999</v>
      </c>
      <c r="D21" s="56"/>
      <c r="E21" s="60">
        <v>3126</v>
      </c>
      <c r="F21" s="60">
        <v>723.54285714285697</v>
      </c>
      <c r="G21" s="56">
        <f t="shared" si="0"/>
        <v>7206.467395601956</v>
      </c>
      <c r="J21" s="75"/>
      <c r="K21" s="75" t="s">
        <v>63</v>
      </c>
      <c r="L21" s="75" t="s">
        <v>64</v>
      </c>
      <c r="P21" s="75"/>
      <c r="Q21" s="75" t="s">
        <v>65</v>
      </c>
      <c r="R21" s="75" t="s">
        <v>64</v>
      </c>
    </row>
    <row r="22" spans="1:21" ht="18.75" x14ac:dyDescent="0.25">
      <c r="A22" s="76" t="s">
        <v>48</v>
      </c>
      <c r="B22" s="59" t="s">
        <v>66</v>
      </c>
      <c r="C22" s="60"/>
      <c r="D22" s="60"/>
      <c r="E22" s="60">
        <v>5341.5</v>
      </c>
      <c r="F22" s="60">
        <v>1861.0628571428599</v>
      </c>
      <c r="G22" s="56">
        <f t="shared" si="0"/>
        <v>7202.5628571428597</v>
      </c>
      <c r="J22" s="75" t="s">
        <v>67</v>
      </c>
      <c r="K22" s="75">
        <v>122000</v>
      </c>
      <c r="L22" s="75">
        <v>97600</v>
      </c>
      <c r="P22" s="75" t="s">
        <v>67</v>
      </c>
      <c r="Q22" s="75">
        <v>47000</v>
      </c>
      <c r="R22" s="75">
        <v>37600</v>
      </c>
    </row>
    <row r="23" spans="1:21" ht="18.75" x14ac:dyDescent="0.15">
      <c r="A23" s="76" t="s">
        <v>48</v>
      </c>
      <c r="B23" s="55" t="s">
        <v>68</v>
      </c>
      <c r="C23" s="56">
        <v>7009.9445834256903</v>
      </c>
      <c r="D23" s="56"/>
      <c r="E23" s="56"/>
      <c r="F23" s="56"/>
      <c r="G23" s="56">
        <f t="shared" si="0"/>
        <v>7009.9445834256903</v>
      </c>
      <c r="J23" s="75" t="s">
        <v>69</v>
      </c>
      <c r="K23" s="75">
        <v>127000</v>
      </c>
      <c r="L23" s="75">
        <v>101600</v>
      </c>
      <c r="P23" s="75" t="s">
        <v>69</v>
      </c>
      <c r="Q23" s="75">
        <v>72000</v>
      </c>
      <c r="R23" s="75">
        <v>57600</v>
      </c>
    </row>
    <row r="24" spans="1:21" ht="18.75" x14ac:dyDescent="0.25">
      <c r="A24" s="76" t="s">
        <v>60</v>
      </c>
      <c r="B24" s="62" t="s">
        <v>70</v>
      </c>
      <c r="C24" s="60"/>
      <c r="D24" s="60"/>
      <c r="E24" s="60">
        <v>4098.78708762515</v>
      </c>
      <c r="F24" s="60">
        <v>1917.9760000000001</v>
      </c>
      <c r="G24" s="56">
        <f t="shared" si="0"/>
        <v>6016.7630876251496</v>
      </c>
      <c r="J24" s="75" t="s">
        <v>40</v>
      </c>
      <c r="K24" s="75">
        <f>SUM(K22:K23)</f>
        <v>249000</v>
      </c>
      <c r="L24" s="75">
        <f>SUM(L22:L23)</f>
        <v>199200</v>
      </c>
      <c r="P24" s="75" t="s">
        <v>40</v>
      </c>
      <c r="Q24" s="75">
        <f>SUM(Q22:Q23)</f>
        <v>119000</v>
      </c>
      <c r="R24" s="77">
        <f>SUM(R22:R23)</f>
        <v>95200</v>
      </c>
    </row>
    <row r="25" spans="1:21" ht="18.75" x14ac:dyDescent="0.25">
      <c r="A25" s="76" t="s">
        <v>42</v>
      </c>
      <c r="B25" s="59" t="s">
        <v>71</v>
      </c>
      <c r="C25" s="60"/>
      <c r="D25" s="60"/>
      <c r="E25" s="60">
        <v>3997.4496005453202</v>
      </c>
      <c r="F25" s="60">
        <v>1784.5257142857099</v>
      </c>
      <c r="G25" s="56">
        <f t="shared" si="0"/>
        <v>5781.9753148310301</v>
      </c>
    </row>
    <row r="26" spans="1:21" ht="18.75" x14ac:dyDescent="0.25">
      <c r="A26" s="76" t="s">
        <v>60</v>
      </c>
      <c r="B26" s="62" t="s">
        <v>72</v>
      </c>
      <c r="C26" s="60"/>
      <c r="D26" s="60"/>
      <c r="E26" s="60">
        <v>3823.2401722732302</v>
      </c>
      <c r="F26" s="60">
        <v>1666.9839999999999</v>
      </c>
      <c r="G26" s="56">
        <f t="shared" si="0"/>
        <v>5490.2241722732306</v>
      </c>
    </row>
    <row r="27" spans="1:21" ht="18.75" x14ac:dyDescent="0.25">
      <c r="A27" s="76" t="s">
        <v>73</v>
      </c>
      <c r="B27" s="59" t="s">
        <v>74</v>
      </c>
      <c r="C27" s="60"/>
      <c r="D27" s="60"/>
      <c r="E27" s="60">
        <v>4312.58690258552</v>
      </c>
      <c r="F27" s="60"/>
      <c r="G27" s="56">
        <f t="shared" si="0"/>
        <v>4312.58690258552</v>
      </c>
    </row>
    <row r="28" spans="1:21" ht="18.75" x14ac:dyDescent="0.25">
      <c r="A28" s="76" t="s">
        <v>73</v>
      </c>
      <c r="B28" s="59" t="s">
        <v>75</v>
      </c>
      <c r="C28" s="60"/>
      <c r="D28" s="60"/>
      <c r="E28" s="60">
        <v>3995.0581008471199</v>
      </c>
      <c r="F28" s="60"/>
      <c r="G28" s="56">
        <f t="shared" si="0"/>
        <v>3995.0581008471199</v>
      </c>
    </row>
    <row r="29" spans="1:21" ht="18.75" x14ac:dyDescent="0.25">
      <c r="A29" s="76" t="s">
        <v>73</v>
      </c>
      <c r="B29" s="59" t="s">
        <v>76</v>
      </c>
      <c r="C29" s="60"/>
      <c r="D29" s="60"/>
      <c r="E29" s="60">
        <v>3712.55927112171</v>
      </c>
      <c r="F29" s="60"/>
      <c r="G29" s="56">
        <f t="shared" si="0"/>
        <v>3712.55927112171</v>
      </c>
    </row>
    <row r="30" spans="1:21" ht="18.75" x14ac:dyDescent="0.15">
      <c r="A30" s="76" t="s">
        <v>42</v>
      </c>
      <c r="B30" s="55" t="s">
        <v>77</v>
      </c>
      <c r="C30" s="56">
        <v>1395.76570061746</v>
      </c>
      <c r="D30" s="56">
        <v>912</v>
      </c>
      <c r="E30" s="60">
        <v>975.20348306573396</v>
      </c>
      <c r="F30" s="60">
        <v>361.771428571429</v>
      </c>
      <c r="G30" s="56">
        <f t="shared" si="0"/>
        <v>3644.7406122546231</v>
      </c>
    </row>
    <row r="31" spans="1:21" ht="18.75" x14ac:dyDescent="0.15">
      <c r="A31" s="76" t="s">
        <v>25</v>
      </c>
      <c r="B31" s="55" t="s">
        <v>78</v>
      </c>
      <c r="C31" s="56">
        <v>1584.27074385844</v>
      </c>
      <c r="D31" s="56">
        <v>1672</v>
      </c>
      <c r="E31" s="56"/>
      <c r="F31" s="56"/>
      <c r="G31" s="56">
        <f t="shared" si="0"/>
        <v>3256.2707438584403</v>
      </c>
    </row>
    <row r="32" spans="1:21" ht="18.75" x14ac:dyDescent="0.15">
      <c r="A32" s="76" t="s">
        <v>48</v>
      </c>
      <c r="B32" s="55" t="s">
        <v>79</v>
      </c>
      <c r="C32" s="56">
        <v>2986.6531555780698</v>
      </c>
      <c r="D32" s="56"/>
      <c r="E32" s="56"/>
      <c r="F32" s="56"/>
      <c r="G32" s="56">
        <f t="shared" si="0"/>
        <v>2986.6531555780698</v>
      </c>
    </row>
    <row r="33" spans="1:7" ht="18.75" x14ac:dyDescent="0.15">
      <c r="A33" s="76" t="s">
        <v>21</v>
      </c>
      <c r="B33" s="55" t="s">
        <v>80</v>
      </c>
      <c r="C33" s="56">
        <v>1990.28194361128</v>
      </c>
      <c r="D33" s="56">
        <v>919.6</v>
      </c>
      <c r="E33" s="56"/>
      <c r="F33" s="56"/>
      <c r="G33" s="56">
        <f t="shared" si="0"/>
        <v>2909.8819436112799</v>
      </c>
    </row>
    <row r="34" spans="1:7" ht="18.75" x14ac:dyDescent="0.15">
      <c r="A34" s="76" t="s">
        <v>48</v>
      </c>
      <c r="B34" s="55" t="s">
        <v>81</v>
      </c>
      <c r="C34" s="56">
        <v>2646.4777225371299</v>
      </c>
      <c r="D34" s="56"/>
      <c r="E34" s="56"/>
      <c r="F34" s="56"/>
      <c r="G34" s="56">
        <f t="shared" si="0"/>
        <v>2646.4777225371299</v>
      </c>
    </row>
    <row r="35" spans="1:7" ht="18.75" x14ac:dyDescent="0.15">
      <c r="A35" s="76" t="s">
        <v>42</v>
      </c>
      <c r="B35" s="55" t="s">
        <v>82</v>
      </c>
      <c r="C35" s="56">
        <v>1395.76570061746</v>
      </c>
      <c r="D35" s="56">
        <v>912</v>
      </c>
      <c r="E35" s="56"/>
      <c r="F35" s="56"/>
      <c r="G35" s="56">
        <f t="shared" si="0"/>
        <v>2307.76570061746</v>
      </c>
    </row>
    <row r="36" spans="1:7" ht="18.75" x14ac:dyDescent="0.15">
      <c r="A36" s="76" t="s">
        <v>48</v>
      </c>
      <c r="B36" s="63" t="s">
        <v>83</v>
      </c>
      <c r="C36" s="60"/>
      <c r="D36" s="60"/>
      <c r="E36" s="60">
        <v>1571</v>
      </c>
      <c r="F36" s="60">
        <v>406.17142857142898</v>
      </c>
      <c r="G36" s="56">
        <f t="shared" si="0"/>
        <v>1977.171428571429</v>
      </c>
    </row>
    <row r="37" spans="1:7" ht="18.75" x14ac:dyDescent="0.25">
      <c r="A37" s="76" t="s">
        <v>84</v>
      </c>
      <c r="B37" s="59" t="s">
        <v>85</v>
      </c>
      <c r="C37" s="60"/>
      <c r="D37" s="60"/>
      <c r="E37" s="60">
        <v>1903.3986837807199</v>
      </c>
      <c r="F37" s="60"/>
      <c r="G37" s="56">
        <f t="shared" si="0"/>
        <v>1903.3986837807199</v>
      </c>
    </row>
    <row r="38" spans="1:7" ht="18.75" x14ac:dyDescent="0.25">
      <c r="A38" s="76" t="s">
        <v>84</v>
      </c>
      <c r="B38" s="59" t="s">
        <v>86</v>
      </c>
      <c r="C38" s="60"/>
      <c r="D38" s="60"/>
      <c r="E38" s="60">
        <v>1859.6852387169699</v>
      </c>
      <c r="F38" s="60"/>
      <c r="G38" s="56">
        <f t="shared" si="0"/>
        <v>1859.6852387169699</v>
      </c>
    </row>
    <row r="39" spans="1:7" ht="18.75" x14ac:dyDescent="0.25">
      <c r="A39" s="76" t="s">
        <v>84</v>
      </c>
      <c r="B39" s="59" t="s">
        <v>87</v>
      </c>
      <c r="C39" s="60"/>
      <c r="D39" s="60"/>
      <c r="E39" s="60">
        <v>1804.94291728703</v>
      </c>
      <c r="F39" s="60"/>
      <c r="G39" s="56">
        <f t="shared" si="0"/>
        <v>1804.94291728703</v>
      </c>
    </row>
    <row r="40" spans="1:7" ht="18.75" x14ac:dyDescent="0.25">
      <c r="A40" s="76" t="s">
        <v>73</v>
      </c>
      <c r="B40" s="59" t="s">
        <v>88</v>
      </c>
      <c r="C40" s="60"/>
      <c r="D40" s="60"/>
      <c r="E40" s="60">
        <v>1579.6904011105801</v>
      </c>
      <c r="F40" s="60"/>
      <c r="G40" s="56">
        <f t="shared" si="0"/>
        <v>1579.6904011105801</v>
      </c>
    </row>
    <row r="41" spans="1:7" ht="18.75" x14ac:dyDescent="0.25">
      <c r="A41" s="76" t="s">
        <v>42</v>
      </c>
      <c r="B41" s="59" t="s">
        <v>89</v>
      </c>
      <c r="C41" s="60"/>
      <c r="D41" s="60"/>
      <c r="E41" s="60">
        <v>975.20348306573396</v>
      </c>
      <c r="F41" s="60">
        <v>361.771428571429</v>
      </c>
      <c r="G41" s="56">
        <f t="shared" si="0"/>
        <v>1336.9749116371629</v>
      </c>
    </row>
    <row r="42" spans="1:7" ht="18.75" x14ac:dyDescent="0.25">
      <c r="A42" s="76" t="s">
        <v>84</v>
      </c>
      <c r="B42" s="59" t="s">
        <v>90</v>
      </c>
      <c r="C42" s="60"/>
      <c r="D42" s="60"/>
      <c r="E42" s="60">
        <v>415.94866396340097</v>
      </c>
      <c r="F42" s="60"/>
      <c r="G42" s="56">
        <f t="shared" si="0"/>
        <v>415.94866396340097</v>
      </c>
    </row>
    <row r="43" spans="1:7" ht="18.75" x14ac:dyDescent="0.15">
      <c r="A43" s="76" t="s">
        <v>84</v>
      </c>
      <c r="B43" s="63" t="s">
        <v>91</v>
      </c>
      <c r="C43" s="60"/>
      <c r="D43" s="60"/>
      <c r="E43" s="60">
        <v>415.94866396340097</v>
      </c>
      <c r="F43" s="60"/>
      <c r="G43" s="56">
        <f t="shared" si="0"/>
        <v>415.94866396340097</v>
      </c>
    </row>
    <row r="44" spans="1:7" x14ac:dyDescent="0.15">
      <c r="A44" s="76"/>
      <c r="B44" s="64" t="s">
        <v>40</v>
      </c>
      <c r="C44" s="65">
        <f t="shared" ref="C44:G44" si="13">SUM(C2:C43)</f>
        <v>101599.99999999997</v>
      </c>
      <c r="D44" s="65">
        <f t="shared" si="13"/>
        <v>57600</v>
      </c>
      <c r="E44" s="65">
        <f t="shared" si="13"/>
        <v>97599.696531407855</v>
      </c>
      <c r="F44" s="65">
        <f t="shared" si="13"/>
        <v>37599.828571428538</v>
      </c>
      <c r="G44" s="65">
        <f t="shared" si="13"/>
        <v>294399.52510283637</v>
      </c>
    </row>
  </sheetData>
  <phoneticPr fontId="4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5"/>
  <sheetViews>
    <sheetView topLeftCell="A24" workbookViewId="0">
      <selection activeCell="K34" sqref="K34"/>
    </sheetView>
  </sheetViews>
  <sheetFormatPr defaultColWidth="9" defaultRowHeight="13.5" x14ac:dyDescent="0.15"/>
  <cols>
    <col min="1" max="1" width="10.25" customWidth="1"/>
    <col min="2" max="2" width="12.75" customWidth="1"/>
    <col min="3" max="3" width="14.5" customWidth="1"/>
    <col min="4" max="4" width="14.625" customWidth="1"/>
    <col min="5" max="5" width="19.75" customWidth="1"/>
  </cols>
  <sheetData>
    <row r="2" spans="1:5" ht="14.25" x14ac:dyDescent="0.15">
      <c r="A2" s="78" t="s">
        <v>0</v>
      </c>
      <c r="B2" s="140" t="s">
        <v>1</v>
      </c>
      <c r="C2" s="141" t="s">
        <v>92</v>
      </c>
      <c r="D2" s="141" t="s">
        <v>93</v>
      </c>
      <c r="E2" s="142" t="s">
        <v>6</v>
      </c>
    </row>
    <row r="3" spans="1:5" ht="18.75" x14ac:dyDescent="0.15">
      <c r="A3" s="75" t="s">
        <v>7</v>
      </c>
      <c r="B3" s="55" t="s">
        <v>8</v>
      </c>
      <c r="C3" s="60">
        <v>11908.4183193467</v>
      </c>
      <c r="D3" s="60">
        <v>4804.8</v>
      </c>
      <c r="E3" s="143">
        <v>16713.218319346699</v>
      </c>
    </row>
    <row r="4" spans="1:5" ht="18.75" x14ac:dyDescent="0.15">
      <c r="A4" s="75" t="s">
        <v>7</v>
      </c>
      <c r="B4" s="55" t="s">
        <v>35</v>
      </c>
      <c r="C4" s="60">
        <v>8091.5816806532903</v>
      </c>
      <c r="D4" s="60">
        <v>3995.2</v>
      </c>
      <c r="E4" s="143">
        <v>12086.781680653299</v>
      </c>
    </row>
    <row r="5" spans="1:5" ht="18.75" x14ac:dyDescent="0.15">
      <c r="A5" s="75" t="s">
        <v>25</v>
      </c>
      <c r="B5" s="55" t="s">
        <v>26</v>
      </c>
      <c r="C5" s="60">
        <v>6411.9154784401298</v>
      </c>
      <c r="D5" s="60">
        <v>6304</v>
      </c>
      <c r="E5" s="143">
        <v>12715.9154784401</v>
      </c>
    </row>
    <row r="6" spans="1:5" ht="18.75" x14ac:dyDescent="0.25">
      <c r="A6" s="75" t="s">
        <v>25</v>
      </c>
      <c r="B6" s="59" t="s">
        <v>29</v>
      </c>
      <c r="C6" s="60">
        <v>6972.87422273831</v>
      </c>
      <c r="D6" s="60">
        <v>5707.9314285714199</v>
      </c>
      <c r="E6" s="143">
        <v>12680.8056513097</v>
      </c>
    </row>
    <row r="7" spans="1:5" ht="18.75" x14ac:dyDescent="0.15">
      <c r="A7" s="75" t="s">
        <v>25</v>
      </c>
      <c r="B7" s="55" t="s">
        <v>32</v>
      </c>
      <c r="C7" s="60">
        <v>6597.2039439087202</v>
      </c>
      <c r="D7" s="60">
        <v>5544.6857142857098</v>
      </c>
      <c r="E7" s="143">
        <v>12141.889658194401</v>
      </c>
    </row>
    <row r="8" spans="1:5" ht="18.75" x14ac:dyDescent="0.15">
      <c r="A8" s="75" t="s">
        <v>25</v>
      </c>
      <c r="B8" s="55" t="s">
        <v>41</v>
      </c>
      <c r="C8" s="60">
        <v>6476.6756163917498</v>
      </c>
      <c r="D8" s="60">
        <v>4376.3657142857101</v>
      </c>
      <c r="E8" s="143">
        <v>10853.041330677501</v>
      </c>
    </row>
    <row r="9" spans="1:5" ht="18.75" x14ac:dyDescent="0.25">
      <c r="A9" s="75" t="s">
        <v>25</v>
      </c>
      <c r="B9" s="59" t="s">
        <v>44</v>
      </c>
      <c r="C9" s="60">
        <v>6821.5164577780997</v>
      </c>
      <c r="D9" s="60">
        <v>3812.89142857142</v>
      </c>
      <c r="E9" s="143">
        <v>10634.4078863495</v>
      </c>
    </row>
    <row r="10" spans="1:5" ht="18.75" x14ac:dyDescent="0.15">
      <c r="A10" s="75" t="s">
        <v>25</v>
      </c>
      <c r="B10" s="55" t="s">
        <v>57</v>
      </c>
      <c r="C10" s="60">
        <v>5135.4673560927204</v>
      </c>
      <c r="D10" s="60">
        <v>4582.1257142857103</v>
      </c>
      <c r="E10" s="143">
        <v>9717.5930703784306</v>
      </c>
    </row>
    <row r="11" spans="1:5" ht="18.75" x14ac:dyDescent="0.15">
      <c r="A11" s="75" t="s">
        <v>25</v>
      </c>
      <c r="B11" s="55" t="s">
        <v>78</v>
      </c>
      <c r="C11" s="60">
        <v>1584.27074385844</v>
      </c>
      <c r="D11" s="60">
        <v>1672</v>
      </c>
      <c r="E11" s="143">
        <v>3256.2707438584398</v>
      </c>
    </row>
    <row r="12" spans="1:5" ht="18.75" x14ac:dyDescent="0.15">
      <c r="A12" s="75" t="s">
        <v>42</v>
      </c>
      <c r="B12" s="55" t="s">
        <v>43</v>
      </c>
      <c r="C12" s="60">
        <v>6021.2226734160304</v>
      </c>
      <c r="D12" s="60">
        <v>4656</v>
      </c>
      <c r="E12" s="143">
        <v>10677.222673415999</v>
      </c>
    </row>
    <row r="13" spans="1:5" ht="18.75" x14ac:dyDescent="0.15">
      <c r="A13" s="75" t="s">
        <v>42</v>
      </c>
      <c r="B13" s="55" t="s">
        <v>51</v>
      </c>
      <c r="C13" s="60">
        <v>5878.3240893103302</v>
      </c>
      <c r="D13" s="60">
        <v>4036.5028571428602</v>
      </c>
      <c r="E13" s="143">
        <v>9914.8269464531804</v>
      </c>
    </row>
    <row r="14" spans="1:5" ht="18.75" x14ac:dyDescent="0.15">
      <c r="A14" s="75" t="s">
        <v>42</v>
      </c>
      <c r="B14" s="55" t="s">
        <v>55</v>
      </c>
      <c r="C14" s="60">
        <v>6079.6638943346297</v>
      </c>
      <c r="D14" s="60">
        <v>3762.9028571428598</v>
      </c>
      <c r="E14" s="143">
        <v>9842.5667514774905</v>
      </c>
    </row>
    <row r="15" spans="1:5" ht="18.75" x14ac:dyDescent="0.25">
      <c r="A15" s="75" t="s">
        <v>42</v>
      </c>
      <c r="B15" s="59" t="s">
        <v>59</v>
      </c>
      <c r="C15" s="60">
        <v>5281.4241093286601</v>
      </c>
      <c r="D15" s="60">
        <v>3212.5257142857099</v>
      </c>
      <c r="E15" s="143">
        <v>8493.9498236143809</v>
      </c>
    </row>
    <row r="16" spans="1:5" ht="18.75" x14ac:dyDescent="0.25">
      <c r="A16" s="75" t="s">
        <v>42</v>
      </c>
      <c r="B16" s="59" t="s">
        <v>71</v>
      </c>
      <c r="C16" s="60">
        <v>3997.4496005453202</v>
      </c>
      <c r="D16" s="60">
        <v>1784.5257142857099</v>
      </c>
      <c r="E16" s="143">
        <v>5781.9753148310301</v>
      </c>
    </row>
    <row r="17" spans="1:5" ht="18.75" x14ac:dyDescent="0.15">
      <c r="A17" s="75" t="s">
        <v>42</v>
      </c>
      <c r="B17" s="55" t="s">
        <v>77</v>
      </c>
      <c r="C17" s="60">
        <v>2370.9691836831898</v>
      </c>
      <c r="D17" s="60">
        <v>1273.7714285714301</v>
      </c>
      <c r="E17" s="143">
        <v>3644.7406122546199</v>
      </c>
    </row>
    <row r="18" spans="1:5" ht="18.75" x14ac:dyDescent="0.15">
      <c r="A18" s="75" t="s">
        <v>42</v>
      </c>
      <c r="B18" s="55" t="s">
        <v>82</v>
      </c>
      <c r="C18" s="60">
        <v>1395.76570061746</v>
      </c>
      <c r="D18" s="60">
        <v>912</v>
      </c>
      <c r="E18" s="143">
        <v>2307.76570061746</v>
      </c>
    </row>
    <row r="19" spans="1:5" ht="18.75" x14ac:dyDescent="0.25">
      <c r="A19" s="75" t="s">
        <v>42</v>
      </c>
      <c r="B19" s="59" t="s">
        <v>89</v>
      </c>
      <c r="C19" s="60">
        <v>975.20348306573396</v>
      </c>
      <c r="D19" s="60">
        <v>361.771428571429</v>
      </c>
      <c r="E19" s="143">
        <v>1336.9749116371599</v>
      </c>
    </row>
    <row r="20" spans="1:5" ht="18.75" x14ac:dyDescent="0.25">
      <c r="A20" s="75" t="s">
        <v>73</v>
      </c>
      <c r="B20" s="59" t="s">
        <v>74</v>
      </c>
      <c r="C20" s="60">
        <v>4312.58690258552</v>
      </c>
      <c r="D20" s="60">
        <v>0</v>
      </c>
      <c r="E20" s="143">
        <v>4312.58690258552</v>
      </c>
    </row>
    <row r="21" spans="1:5" ht="18.75" x14ac:dyDescent="0.25">
      <c r="A21" s="75" t="s">
        <v>73</v>
      </c>
      <c r="B21" s="59" t="s">
        <v>75</v>
      </c>
      <c r="C21" s="60">
        <v>3995.0581008471199</v>
      </c>
      <c r="D21" s="60">
        <v>0</v>
      </c>
      <c r="E21" s="143">
        <v>3995.0581008471199</v>
      </c>
    </row>
    <row r="22" spans="1:5" ht="18.75" x14ac:dyDescent="0.25">
      <c r="A22" s="75" t="s">
        <v>73</v>
      </c>
      <c r="B22" s="59" t="s">
        <v>76</v>
      </c>
      <c r="C22" s="60">
        <v>3712.55927112171</v>
      </c>
      <c r="D22" s="60">
        <v>0</v>
      </c>
      <c r="E22" s="143">
        <v>3712.55927112171</v>
      </c>
    </row>
    <row r="23" spans="1:5" ht="18.75" x14ac:dyDescent="0.25">
      <c r="A23" s="75" t="s">
        <v>73</v>
      </c>
      <c r="B23" s="59" t="s">
        <v>88</v>
      </c>
      <c r="C23" s="60">
        <v>1579.6904011105801</v>
      </c>
      <c r="D23" s="60">
        <v>0</v>
      </c>
      <c r="E23" s="143">
        <v>1579.6904011105801</v>
      </c>
    </row>
    <row r="24" spans="1:5" ht="18.75" x14ac:dyDescent="0.25">
      <c r="A24" s="75" t="s">
        <v>48</v>
      </c>
      <c r="B24" s="59" t="s">
        <v>49</v>
      </c>
      <c r="C24" s="60">
        <v>7081.2852463247</v>
      </c>
      <c r="D24" s="60">
        <v>2853.96571428571</v>
      </c>
      <c r="E24" s="143">
        <v>9935.2509606104104</v>
      </c>
    </row>
    <row r="25" spans="1:5" ht="18.75" x14ac:dyDescent="0.25">
      <c r="A25" s="75" t="s">
        <v>48</v>
      </c>
      <c r="B25" s="59" t="s">
        <v>58</v>
      </c>
      <c r="C25" s="60">
        <v>6880.0118710330698</v>
      </c>
      <c r="D25" s="60">
        <v>2155.0857142857099</v>
      </c>
      <c r="E25" s="143">
        <v>9035.0975853187792</v>
      </c>
    </row>
    <row r="26" spans="1:5" ht="18.75" x14ac:dyDescent="0.15">
      <c r="A26" s="75" t="s">
        <v>48</v>
      </c>
      <c r="B26" s="55" t="s">
        <v>62</v>
      </c>
      <c r="C26" s="60">
        <v>6482.9245384591004</v>
      </c>
      <c r="D26" s="60">
        <v>723.54285714285697</v>
      </c>
      <c r="E26" s="143">
        <v>7206.4673956019597</v>
      </c>
    </row>
    <row r="27" spans="1:5" ht="18.75" x14ac:dyDescent="0.25">
      <c r="A27" s="75" t="s">
        <v>48</v>
      </c>
      <c r="B27" s="59" t="s">
        <v>66</v>
      </c>
      <c r="C27" s="60">
        <v>5341.5</v>
      </c>
      <c r="D27" s="60">
        <v>1861.0628571428599</v>
      </c>
      <c r="E27" s="143">
        <v>7202.5628571428597</v>
      </c>
    </row>
    <row r="28" spans="1:5" ht="18.75" x14ac:dyDescent="0.15">
      <c r="A28" s="75" t="s">
        <v>48</v>
      </c>
      <c r="B28" s="55" t="s">
        <v>68</v>
      </c>
      <c r="C28" s="60">
        <v>7009.9445834256903</v>
      </c>
      <c r="D28" s="60">
        <v>0</v>
      </c>
      <c r="E28" s="143">
        <v>7009.9445834256903</v>
      </c>
    </row>
    <row r="29" spans="1:5" ht="18.75" x14ac:dyDescent="0.15">
      <c r="A29" s="75" t="s">
        <v>48</v>
      </c>
      <c r="B29" s="55" t="s">
        <v>79</v>
      </c>
      <c r="C29" s="60">
        <v>2986.6531555780698</v>
      </c>
      <c r="D29" s="60">
        <v>0</v>
      </c>
      <c r="E29" s="143">
        <v>2986.6531555780698</v>
      </c>
    </row>
    <row r="30" spans="1:5" ht="18.75" x14ac:dyDescent="0.15">
      <c r="A30" s="75" t="s">
        <v>48</v>
      </c>
      <c r="B30" s="55" t="s">
        <v>81</v>
      </c>
      <c r="C30" s="60">
        <v>2646.4777225371299</v>
      </c>
      <c r="D30" s="60">
        <v>0</v>
      </c>
      <c r="E30" s="143">
        <v>2646.4777225371299</v>
      </c>
    </row>
    <row r="31" spans="1:5" ht="18.75" x14ac:dyDescent="0.15">
      <c r="A31" s="75" t="s">
        <v>48</v>
      </c>
      <c r="B31" s="63" t="s">
        <v>83</v>
      </c>
      <c r="C31" s="60">
        <v>1571</v>
      </c>
      <c r="D31" s="60">
        <v>406.17142857142898</v>
      </c>
      <c r="E31" s="143">
        <v>1977.1714285714299</v>
      </c>
    </row>
    <row r="32" spans="1:5" ht="18.75" x14ac:dyDescent="0.25">
      <c r="A32" s="75" t="s">
        <v>60</v>
      </c>
      <c r="B32" s="62" t="s">
        <v>61</v>
      </c>
      <c r="C32" s="60">
        <v>5678.1067572657303</v>
      </c>
      <c r="D32" s="60">
        <v>2015.04</v>
      </c>
      <c r="E32" s="143">
        <v>7693.1467572657302</v>
      </c>
    </row>
    <row r="33" spans="1:5" ht="18.75" x14ac:dyDescent="0.25">
      <c r="A33" s="75" t="s">
        <v>60</v>
      </c>
      <c r="B33" s="62" t="s">
        <v>70</v>
      </c>
      <c r="C33" s="60">
        <v>4098.78708762515</v>
      </c>
      <c r="D33" s="60">
        <v>1917.9760000000001</v>
      </c>
      <c r="E33" s="143">
        <v>6016.7630876251596</v>
      </c>
    </row>
    <row r="34" spans="1:5" ht="18.75" x14ac:dyDescent="0.25">
      <c r="A34" s="75" t="s">
        <v>60</v>
      </c>
      <c r="B34" s="62" t="s">
        <v>72</v>
      </c>
      <c r="C34" s="60">
        <v>3823.2401722732302</v>
      </c>
      <c r="D34" s="60">
        <v>1666.9839999999999</v>
      </c>
      <c r="E34" s="143">
        <v>5490.2241722732397</v>
      </c>
    </row>
    <row r="35" spans="1:5" ht="18.75" x14ac:dyDescent="0.15">
      <c r="A35" s="75" t="s">
        <v>21</v>
      </c>
      <c r="B35" s="55" t="s">
        <v>22</v>
      </c>
      <c r="C35" s="60">
        <v>9934.1331733653296</v>
      </c>
      <c r="D35" s="60">
        <v>4149.2</v>
      </c>
      <c r="E35" s="143">
        <v>14083.333173365299</v>
      </c>
    </row>
    <row r="36" spans="1:5" ht="18.75" x14ac:dyDescent="0.15">
      <c r="A36" s="75" t="s">
        <v>21</v>
      </c>
      <c r="B36" s="55" t="s">
        <v>39</v>
      </c>
      <c r="C36" s="60">
        <v>8075.5848830233999</v>
      </c>
      <c r="D36" s="60">
        <v>3731.2</v>
      </c>
      <c r="E36" s="143">
        <v>11806.7848830234</v>
      </c>
    </row>
    <row r="37" spans="1:5" ht="18.75" x14ac:dyDescent="0.15">
      <c r="A37" s="75" t="s">
        <v>21</v>
      </c>
      <c r="B37" s="55" t="s">
        <v>80</v>
      </c>
      <c r="C37" s="60">
        <v>1990.28194361128</v>
      </c>
      <c r="D37" s="60">
        <v>919.6</v>
      </c>
      <c r="E37" s="143">
        <v>2909.8819436112799</v>
      </c>
    </row>
    <row r="38" spans="1:5" ht="18.75" x14ac:dyDescent="0.25">
      <c r="A38" s="75" t="s">
        <v>84</v>
      </c>
      <c r="B38" s="59" t="s">
        <v>85</v>
      </c>
      <c r="C38" s="60">
        <v>1903.3986837807199</v>
      </c>
      <c r="D38" s="60">
        <v>0</v>
      </c>
      <c r="E38" s="143">
        <v>1903.3986837807199</v>
      </c>
    </row>
    <row r="39" spans="1:5" ht="18.75" x14ac:dyDescent="0.25">
      <c r="A39" s="75" t="s">
        <v>84</v>
      </c>
      <c r="B39" s="59" t="s">
        <v>86</v>
      </c>
      <c r="C39" s="60">
        <v>1859.6852387169699</v>
      </c>
      <c r="D39" s="60">
        <v>0</v>
      </c>
      <c r="E39" s="143">
        <v>1859.6852387169699</v>
      </c>
    </row>
    <row r="40" spans="1:5" ht="18.75" x14ac:dyDescent="0.25">
      <c r="A40" s="75" t="s">
        <v>84</v>
      </c>
      <c r="B40" s="59" t="s">
        <v>87</v>
      </c>
      <c r="C40" s="60">
        <v>1804.94291728703</v>
      </c>
      <c r="D40" s="60">
        <v>0</v>
      </c>
      <c r="E40" s="143">
        <v>1804.94291728703</v>
      </c>
    </row>
    <row r="41" spans="1:5" ht="18.75" x14ac:dyDescent="0.25">
      <c r="A41" s="75" t="s">
        <v>84</v>
      </c>
      <c r="B41" s="59" t="s">
        <v>90</v>
      </c>
      <c r="C41" s="60">
        <v>415.94866396340097</v>
      </c>
      <c r="D41" s="60">
        <v>0</v>
      </c>
      <c r="E41" s="143">
        <v>415.94866396340097</v>
      </c>
    </row>
    <row r="42" spans="1:5" ht="18.75" x14ac:dyDescent="0.15">
      <c r="A42" s="75" t="s">
        <v>84</v>
      </c>
      <c r="B42" s="63" t="s">
        <v>91</v>
      </c>
      <c r="C42" s="60">
        <v>415.94866396340097</v>
      </c>
      <c r="D42" s="60">
        <v>0</v>
      </c>
      <c r="E42" s="143">
        <v>415.94866396340097</v>
      </c>
    </row>
    <row r="43" spans="1:5" ht="18.75" x14ac:dyDescent="0.15">
      <c r="A43" s="75" t="s">
        <v>15</v>
      </c>
      <c r="B43" s="55" t="s">
        <v>16</v>
      </c>
      <c r="C43" s="60">
        <v>8235.0066716086003</v>
      </c>
      <c r="D43" s="60">
        <v>7596</v>
      </c>
      <c r="E43" s="143">
        <v>15831.0066716086</v>
      </c>
    </row>
    <row r="44" spans="1:5" ht="18.75" x14ac:dyDescent="0.15">
      <c r="A44" s="75" t="s">
        <v>15</v>
      </c>
      <c r="B44" s="55" t="s">
        <v>56</v>
      </c>
      <c r="C44" s="60">
        <v>5364.9933283913997</v>
      </c>
      <c r="D44" s="60">
        <v>4404</v>
      </c>
      <c r="E44" s="143">
        <v>9768.9933283913997</v>
      </c>
    </row>
    <row r="45" spans="1:5" x14ac:dyDescent="0.15">
      <c r="C45" s="93">
        <f>SUM(C3:C44)</f>
        <v>199199.69653140783</v>
      </c>
      <c r="D45" s="93">
        <f>SUM(D3:D44)</f>
        <v>95199.828571428516</v>
      </c>
      <c r="E45" s="93">
        <f>SUM(E3:E44)</f>
        <v>294399.52510283631</v>
      </c>
    </row>
  </sheetData>
  <phoneticPr fontId="4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27"/>
  <sheetViews>
    <sheetView workbookViewId="0">
      <selection activeCell="P28" sqref="P28"/>
    </sheetView>
  </sheetViews>
  <sheetFormatPr defaultColWidth="9" defaultRowHeight="13.5" x14ac:dyDescent="0.15"/>
  <cols>
    <col min="4" max="4" width="19.5" customWidth="1"/>
    <col min="5" max="5" width="16.75" customWidth="1"/>
    <col min="6" max="6" width="11.25" customWidth="1"/>
    <col min="7" max="7" width="15.75" customWidth="1"/>
    <col min="8" max="8" width="22.75" customWidth="1"/>
    <col min="9" max="9" width="22.125" customWidth="1"/>
    <col min="10" max="10" width="12" customWidth="1"/>
    <col min="11" max="11" width="9.875" customWidth="1"/>
    <col min="12" max="12" width="11.125" customWidth="1"/>
    <col min="13" max="13" width="12.375" customWidth="1"/>
    <col min="14" max="15" width="12" customWidth="1"/>
    <col min="17" max="17" width="12.625"/>
    <col min="19" max="19" width="12.625"/>
  </cols>
  <sheetData>
    <row r="1" spans="2:19" ht="20.25" x14ac:dyDescent="0.25">
      <c r="B1" s="78" t="s">
        <v>94</v>
      </c>
      <c r="C1" s="81" t="s">
        <v>95</v>
      </c>
      <c r="D1" s="78" t="s">
        <v>96</v>
      </c>
      <c r="E1" s="78" t="s">
        <v>97</v>
      </c>
      <c r="F1" s="78" t="s">
        <v>98</v>
      </c>
      <c r="G1" s="78" t="s">
        <v>99</v>
      </c>
      <c r="H1" s="78" t="s">
        <v>100</v>
      </c>
      <c r="I1" s="78" t="s">
        <v>101</v>
      </c>
      <c r="J1" s="78" t="s">
        <v>102</v>
      </c>
      <c r="K1" s="78" t="s">
        <v>103</v>
      </c>
      <c r="L1" s="82" t="s">
        <v>104</v>
      </c>
      <c r="M1" s="82" t="s">
        <v>105</v>
      </c>
      <c r="N1" s="116" t="s">
        <v>106</v>
      </c>
      <c r="O1" s="116" t="s">
        <v>107</v>
      </c>
      <c r="P1" s="78"/>
      <c r="Q1" s="96"/>
      <c r="R1" s="145" t="s">
        <v>108</v>
      </c>
      <c r="S1" s="146"/>
    </row>
    <row r="2" spans="2:19" ht="21" x14ac:dyDescent="0.3">
      <c r="B2" s="39" t="s">
        <v>109</v>
      </c>
      <c r="C2" s="43">
        <v>1</v>
      </c>
      <c r="D2" s="79">
        <v>1371.42857142857</v>
      </c>
      <c r="E2" s="75">
        <v>14400</v>
      </c>
      <c r="F2" s="75">
        <f>E2*0.7</f>
        <v>10080</v>
      </c>
      <c r="G2" s="42">
        <v>665.96825581395399</v>
      </c>
      <c r="H2" s="41">
        <v>102.84</v>
      </c>
      <c r="I2" s="75">
        <f>E2*0.3</f>
        <v>4320</v>
      </c>
      <c r="J2" s="75">
        <v>7</v>
      </c>
      <c r="K2" s="79">
        <v>1.0809333613622001</v>
      </c>
      <c r="L2" s="64">
        <f>F2/G2*H2+(I2/J2*K2)</f>
        <v>2223.6617926441741</v>
      </c>
      <c r="M2" s="64">
        <f>D2+L2</f>
        <v>3595.0903640727438</v>
      </c>
      <c r="N2" s="40" t="s">
        <v>29</v>
      </c>
      <c r="O2" s="40" t="s">
        <v>29</v>
      </c>
      <c r="P2" s="117">
        <v>3595.0903640727502</v>
      </c>
      <c r="Q2" s="113"/>
      <c r="R2" s="137" t="s">
        <v>29</v>
      </c>
      <c r="S2" s="65">
        <f>M2+M5</f>
        <v>6972.8742227383136</v>
      </c>
    </row>
    <row r="3" spans="2:19" ht="20.25" x14ac:dyDescent="0.25">
      <c r="B3" s="16" t="s">
        <v>110</v>
      </c>
      <c r="C3" s="43">
        <v>2</v>
      </c>
      <c r="D3" s="79">
        <v>1371.42857142857</v>
      </c>
      <c r="E3" s="75">
        <v>14400</v>
      </c>
      <c r="F3" s="75">
        <f t="shared" ref="F3:F8" si="0">E3*0.7</f>
        <v>10080</v>
      </c>
      <c r="G3" s="42">
        <v>665.96825581395399</v>
      </c>
      <c r="H3" s="41">
        <v>100.81</v>
      </c>
      <c r="I3" s="75">
        <f t="shared" ref="I3:I8" si="1">E3*0.3</f>
        <v>4320</v>
      </c>
      <c r="J3" s="75">
        <v>7</v>
      </c>
      <c r="K3" s="79">
        <v>1.0595963842758001</v>
      </c>
      <c r="L3" s="64">
        <f t="shared" ref="L3:L8" si="2">F3/G3*H3+(I3/J3*K3)</f>
        <v>2179.7680408057086</v>
      </c>
      <c r="M3" s="64">
        <f t="shared" ref="M3:M8" si="3">D3+L3</f>
        <v>3551.1966122342783</v>
      </c>
      <c r="N3" s="40" t="s">
        <v>57</v>
      </c>
      <c r="O3" s="40" t="s">
        <v>57</v>
      </c>
      <c r="P3" s="117">
        <v>3551.1966122342801</v>
      </c>
      <c r="Q3" s="113"/>
      <c r="R3" s="137" t="s">
        <v>57</v>
      </c>
      <c r="S3" s="65">
        <v>3551.1966122342801</v>
      </c>
    </row>
    <row r="4" spans="2:19" ht="21" x14ac:dyDescent="0.3">
      <c r="B4" s="39" t="s">
        <v>111</v>
      </c>
      <c r="C4" s="43">
        <v>3</v>
      </c>
      <c r="D4" s="79">
        <v>1371.42857142857</v>
      </c>
      <c r="E4" s="75">
        <v>14400</v>
      </c>
      <c r="F4" s="75">
        <f t="shared" si="0"/>
        <v>10080</v>
      </c>
      <c r="G4" s="42">
        <v>665.96825581395399</v>
      </c>
      <c r="H4" s="41">
        <v>99.39</v>
      </c>
      <c r="I4" s="75">
        <f t="shared" si="1"/>
        <v>4320</v>
      </c>
      <c r="J4" s="75">
        <v>7</v>
      </c>
      <c r="K4" s="79">
        <v>1.0446710111414801</v>
      </c>
      <c r="L4" s="64">
        <f t="shared" si="2"/>
        <v>2149.0640370566402</v>
      </c>
      <c r="M4" s="64">
        <f t="shared" si="3"/>
        <v>3520.4926084852104</v>
      </c>
      <c r="N4" s="40" t="s">
        <v>44</v>
      </c>
      <c r="O4" s="40" t="s">
        <v>44</v>
      </c>
      <c r="P4" s="117">
        <v>3520.49260848521</v>
      </c>
      <c r="Q4" s="113"/>
      <c r="R4" s="137" t="s">
        <v>44</v>
      </c>
      <c r="S4" s="65">
        <f>M4+M8</f>
        <v>6821.5164577780961</v>
      </c>
    </row>
    <row r="5" spans="2:19" ht="21" x14ac:dyDescent="0.3">
      <c r="B5" s="39" t="s">
        <v>112</v>
      </c>
      <c r="C5" s="43">
        <v>1</v>
      </c>
      <c r="D5" s="79">
        <v>1371.42857142857</v>
      </c>
      <c r="E5" s="75">
        <v>14400</v>
      </c>
      <c r="F5" s="75">
        <f t="shared" si="0"/>
        <v>10080</v>
      </c>
      <c r="G5" s="42">
        <v>665.96825581395399</v>
      </c>
      <c r="H5" s="41">
        <v>92.79</v>
      </c>
      <c r="I5" s="75">
        <f t="shared" si="1"/>
        <v>4320</v>
      </c>
      <c r="J5" s="75">
        <v>7</v>
      </c>
      <c r="K5" s="79">
        <v>0.97529955854530204</v>
      </c>
      <c r="L5" s="64">
        <f t="shared" si="2"/>
        <v>2006.3552872370001</v>
      </c>
      <c r="M5" s="64">
        <f t="shared" si="3"/>
        <v>3377.7838586655698</v>
      </c>
      <c r="N5" s="40" t="s">
        <v>29</v>
      </c>
      <c r="O5" s="40" t="s">
        <v>29</v>
      </c>
      <c r="P5" s="117">
        <v>3377.7838586655698</v>
      </c>
      <c r="Q5" s="113"/>
      <c r="R5" s="137" t="s">
        <v>41</v>
      </c>
      <c r="S5" s="65">
        <v>3336.3766986800201</v>
      </c>
    </row>
    <row r="6" spans="2:19" ht="21" x14ac:dyDescent="0.3">
      <c r="B6" s="39" t="s">
        <v>113</v>
      </c>
      <c r="C6" s="43">
        <v>2</v>
      </c>
      <c r="D6" s="79">
        <v>1371.42857142857</v>
      </c>
      <c r="E6" s="75">
        <v>14400</v>
      </c>
      <c r="F6" s="75">
        <f t="shared" si="0"/>
        <v>10080</v>
      </c>
      <c r="G6" s="42">
        <v>665.96825581395399</v>
      </c>
      <c r="H6" s="44">
        <v>90.875</v>
      </c>
      <c r="I6" s="75">
        <f t="shared" si="1"/>
        <v>4320</v>
      </c>
      <c r="J6" s="75">
        <v>7</v>
      </c>
      <c r="K6" s="79">
        <v>0.95517132646626002</v>
      </c>
      <c r="L6" s="64">
        <f t="shared" si="2"/>
        <v>1964.9481272514531</v>
      </c>
      <c r="M6" s="64">
        <f t="shared" si="3"/>
        <v>3336.3766986800229</v>
      </c>
      <c r="N6" s="40" t="s">
        <v>41</v>
      </c>
      <c r="O6" s="40" t="s">
        <v>41</v>
      </c>
      <c r="P6" s="117">
        <v>3339.94441742551</v>
      </c>
      <c r="Q6" s="113"/>
      <c r="R6" s="137" t="s">
        <v>32</v>
      </c>
      <c r="S6" s="65">
        <v>3317.9598277774699</v>
      </c>
    </row>
    <row r="7" spans="2:19" ht="20.25" x14ac:dyDescent="0.25">
      <c r="B7" s="16" t="s">
        <v>114</v>
      </c>
      <c r="C7" s="43">
        <v>3</v>
      </c>
      <c r="D7" s="79">
        <v>1371.42857142857</v>
      </c>
      <c r="E7" s="75">
        <v>14400</v>
      </c>
      <c r="F7" s="75">
        <f t="shared" si="0"/>
        <v>10080</v>
      </c>
      <c r="G7" s="42">
        <v>665.96825581395399</v>
      </c>
      <c r="H7" s="44">
        <v>90.023255813953497</v>
      </c>
      <c r="I7" s="75">
        <f t="shared" si="1"/>
        <v>4320</v>
      </c>
      <c r="J7" s="75">
        <v>7</v>
      </c>
      <c r="K7" s="79">
        <v>0.94621879140165499</v>
      </c>
      <c r="L7" s="64">
        <f t="shared" si="2"/>
        <v>1946.5312563489015</v>
      </c>
      <c r="M7" s="64">
        <f t="shared" si="3"/>
        <v>3317.9598277774712</v>
      </c>
      <c r="N7" s="40" t="s">
        <v>32</v>
      </c>
      <c r="O7" s="40" t="s">
        <v>32</v>
      </c>
      <c r="P7" s="60">
        <v>3314.4298227607901</v>
      </c>
      <c r="Q7" s="26"/>
      <c r="R7" s="90"/>
      <c r="S7" s="65">
        <f>SUM(S2:S6)</f>
        <v>23999.923819208183</v>
      </c>
    </row>
    <row r="8" spans="2:19" ht="20.25" x14ac:dyDescent="0.25">
      <c r="B8" s="16" t="s">
        <v>115</v>
      </c>
      <c r="C8" s="43">
        <v>4</v>
      </c>
      <c r="D8" s="79">
        <v>1371.42857142857</v>
      </c>
      <c r="E8" s="75">
        <v>14400</v>
      </c>
      <c r="F8" s="75">
        <f t="shared" si="0"/>
        <v>10080</v>
      </c>
      <c r="G8" s="42">
        <v>665.96825581395399</v>
      </c>
      <c r="H8" s="41">
        <v>89.24</v>
      </c>
      <c r="I8" s="75">
        <f t="shared" si="1"/>
        <v>4320</v>
      </c>
      <c r="J8" s="75">
        <v>7</v>
      </c>
      <c r="K8" s="79">
        <v>0.93798612570948103</v>
      </c>
      <c r="L8" s="64">
        <f t="shared" si="2"/>
        <v>1929.5952778643159</v>
      </c>
      <c r="M8" s="64">
        <f t="shared" si="3"/>
        <v>3301.0238492928856</v>
      </c>
      <c r="N8" s="40" t="s">
        <v>44</v>
      </c>
      <c r="O8" s="40" t="s">
        <v>44</v>
      </c>
      <c r="P8" s="64">
        <v>3301.0238492928902</v>
      </c>
    </row>
    <row r="9" spans="2:19" x14ac:dyDescent="0.15">
      <c r="B9" s="76" t="s">
        <v>40</v>
      </c>
      <c r="C9" s="76"/>
      <c r="D9" s="80">
        <f>SUM(D2:D8)</f>
        <v>9599.9999999999909</v>
      </c>
      <c r="E9" s="76"/>
      <c r="F9" s="76"/>
      <c r="G9" s="76"/>
      <c r="H9" s="76"/>
      <c r="I9" s="76"/>
      <c r="J9" s="76"/>
      <c r="K9" s="76"/>
      <c r="L9" s="84">
        <f>SUM(L2:L8)</f>
        <v>14399.923819208194</v>
      </c>
      <c r="M9" s="84">
        <f>SUM(M2:M8)</f>
        <v>23999.923819208183</v>
      </c>
    </row>
    <row r="11" spans="2:19" ht="15" x14ac:dyDescent="0.2">
      <c r="C11" s="133"/>
      <c r="D11" s="134"/>
      <c r="E11" s="134"/>
      <c r="F11" s="133"/>
    </row>
    <row r="12" spans="2:19" ht="14.25" x14ac:dyDescent="0.15">
      <c r="C12" s="133"/>
      <c r="D12" s="133"/>
      <c r="E12" s="133"/>
      <c r="F12" s="135"/>
    </row>
    <row r="13" spans="2:19" x14ac:dyDescent="0.15">
      <c r="C13" s="26"/>
      <c r="D13" s="26"/>
      <c r="E13" s="26"/>
      <c r="F13" s="136"/>
    </row>
    <row r="14" spans="2:19" ht="14.25" x14ac:dyDescent="0.15">
      <c r="C14" s="113"/>
      <c r="D14" s="113"/>
      <c r="E14" s="133"/>
      <c r="F14" s="135"/>
    </row>
    <row r="15" spans="2:19" ht="14.25" x14ac:dyDescent="0.15">
      <c r="C15" s="133"/>
      <c r="D15" s="133"/>
      <c r="E15" s="133"/>
      <c r="F15" s="135"/>
    </row>
    <row r="16" spans="2:19" ht="15" x14ac:dyDescent="0.2">
      <c r="C16" s="113"/>
      <c r="D16" s="134"/>
      <c r="E16" s="113"/>
      <c r="F16" s="135"/>
    </row>
    <row r="17" spans="3:21" ht="14.25" x14ac:dyDescent="0.15">
      <c r="C17" s="133"/>
      <c r="D17" s="133"/>
      <c r="E17" s="133"/>
      <c r="F17" s="135"/>
    </row>
    <row r="18" spans="3:21" ht="15" x14ac:dyDescent="0.2">
      <c r="C18" s="113"/>
      <c r="D18" s="134"/>
      <c r="E18" s="133"/>
      <c r="F18" s="135"/>
      <c r="R18" s="147"/>
      <c r="S18" s="147"/>
      <c r="T18" s="147"/>
      <c r="U18" s="147"/>
    </row>
    <row r="19" spans="3:21" ht="20.25" x14ac:dyDescent="0.25">
      <c r="C19" s="78" t="s">
        <v>94</v>
      </c>
      <c r="D19" s="81" t="s">
        <v>95</v>
      </c>
      <c r="E19" s="75" t="s">
        <v>116</v>
      </c>
      <c r="F19" s="78" t="s">
        <v>117</v>
      </c>
      <c r="G19" s="78" t="s">
        <v>118</v>
      </c>
      <c r="H19" s="78" t="s">
        <v>119</v>
      </c>
      <c r="I19" s="78" t="s">
        <v>120</v>
      </c>
      <c r="J19" s="76" t="s">
        <v>106</v>
      </c>
      <c r="K19" s="76" t="s">
        <v>107</v>
      </c>
      <c r="L19" s="75" t="s">
        <v>40</v>
      </c>
      <c r="R19" s="113"/>
      <c r="S19" s="111"/>
      <c r="T19" s="111"/>
      <c r="U19" s="96"/>
    </row>
    <row r="20" spans="3:21" ht="21" x14ac:dyDescent="0.3">
      <c r="C20" s="39" t="s">
        <v>109</v>
      </c>
      <c r="D20" s="43">
        <v>1</v>
      </c>
      <c r="E20" s="75">
        <v>6400</v>
      </c>
      <c r="F20" s="79">
        <f t="shared" ref="F20:F26" si="4">E20/7</f>
        <v>914.28571428571433</v>
      </c>
      <c r="G20" s="75">
        <f t="shared" ref="G20:G26" si="5">16000*0.6</f>
        <v>9600</v>
      </c>
      <c r="H20" s="85">
        <f>G20*63%*43%</f>
        <v>2600.64</v>
      </c>
      <c r="I20" s="75"/>
      <c r="J20" s="40" t="s">
        <v>29</v>
      </c>
      <c r="K20" s="40" t="s">
        <v>29</v>
      </c>
      <c r="L20" s="60">
        <f>F20+H20+I20</f>
        <v>3514.9257142857141</v>
      </c>
      <c r="N20" s="137" t="s">
        <v>29</v>
      </c>
      <c r="O20" s="65">
        <f>L20+L23</f>
        <v>5707.9314285714281</v>
      </c>
      <c r="R20" s="113"/>
      <c r="S20" s="111"/>
      <c r="T20" s="138"/>
      <c r="U20" s="96"/>
    </row>
    <row r="21" spans="3:21" ht="20.25" x14ac:dyDescent="0.25">
      <c r="C21" s="16" t="s">
        <v>110</v>
      </c>
      <c r="D21" s="43">
        <v>2</v>
      </c>
      <c r="E21" s="75">
        <v>6400</v>
      </c>
      <c r="F21" s="79">
        <f t="shared" si="4"/>
        <v>914.28571428571433</v>
      </c>
      <c r="G21" s="75">
        <f t="shared" si="5"/>
        <v>9600</v>
      </c>
      <c r="H21" s="85">
        <f>G21*0.63*0.33</f>
        <v>1995.8400000000001</v>
      </c>
      <c r="I21" s="75"/>
      <c r="J21" s="40" t="s">
        <v>57</v>
      </c>
      <c r="K21" s="40" t="s">
        <v>57</v>
      </c>
      <c r="L21" s="60">
        <f t="shared" ref="L21:L26" si="6">F21+H21+I21</f>
        <v>2910.1257142857144</v>
      </c>
      <c r="N21" s="137" t="s">
        <v>57</v>
      </c>
      <c r="O21" s="65">
        <f>L21</f>
        <v>2910.1257142857144</v>
      </c>
      <c r="R21" s="113"/>
      <c r="S21" s="111"/>
      <c r="T21" s="111"/>
      <c r="U21" s="96"/>
    </row>
    <row r="22" spans="3:21" ht="21" x14ac:dyDescent="0.3">
      <c r="C22" s="39" t="s">
        <v>111</v>
      </c>
      <c r="D22" s="43">
        <v>3</v>
      </c>
      <c r="E22" s="75">
        <v>6400</v>
      </c>
      <c r="F22" s="79">
        <f t="shared" si="4"/>
        <v>914.28571428571433</v>
      </c>
      <c r="G22" s="75">
        <f t="shared" si="5"/>
        <v>9600</v>
      </c>
      <c r="H22" s="85">
        <f>G22*0.63*0.24</f>
        <v>1451.52</v>
      </c>
      <c r="I22" s="75"/>
      <c r="J22" s="40" t="s">
        <v>44</v>
      </c>
      <c r="K22" s="40" t="s">
        <v>44</v>
      </c>
      <c r="L22" s="60">
        <f t="shared" si="6"/>
        <v>2365.8057142857142</v>
      </c>
      <c r="N22" s="137" t="s">
        <v>44</v>
      </c>
      <c r="O22" s="65">
        <f>L22+L26</f>
        <v>3812.8914285714286</v>
      </c>
      <c r="R22" s="113"/>
      <c r="S22" s="129"/>
      <c r="T22" s="138"/>
      <c r="U22" s="96"/>
    </row>
    <row r="23" spans="3:21" ht="21" x14ac:dyDescent="0.3">
      <c r="C23" s="39" t="s">
        <v>112</v>
      </c>
      <c r="D23" s="43">
        <v>1</v>
      </c>
      <c r="E23" s="75">
        <v>6400</v>
      </c>
      <c r="F23" s="79">
        <f t="shared" si="4"/>
        <v>914.28571428571433</v>
      </c>
      <c r="G23" s="75">
        <f t="shared" si="5"/>
        <v>9600</v>
      </c>
      <c r="H23" s="43"/>
      <c r="I23" s="60">
        <f>G23*0.37*0.36</f>
        <v>1278.72</v>
      </c>
      <c r="J23" s="40" t="s">
        <v>29</v>
      </c>
      <c r="K23" s="40" t="s">
        <v>29</v>
      </c>
      <c r="L23" s="60">
        <f t="shared" si="6"/>
        <v>2193.0057142857145</v>
      </c>
      <c r="N23" s="137" t="s">
        <v>41</v>
      </c>
      <c r="O23" s="65">
        <f>L24</f>
        <v>1944.3657142857141</v>
      </c>
      <c r="R23" s="113"/>
      <c r="S23" s="129"/>
      <c r="T23" s="138"/>
      <c r="U23" s="96"/>
    </row>
    <row r="24" spans="3:21" ht="21" x14ac:dyDescent="0.3">
      <c r="C24" s="39" t="s">
        <v>113</v>
      </c>
      <c r="D24" s="43">
        <v>2</v>
      </c>
      <c r="E24" s="75">
        <v>6400</v>
      </c>
      <c r="F24" s="79">
        <f t="shared" si="4"/>
        <v>914.28571428571433</v>
      </c>
      <c r="G24" s="75">
        <f t="shared" si="5"/>
        <v>9600</v>
      </c>
      <c r="H24" s="42"/>
      <c r="I24" s="60">
        <f>G24*0.37*0.29</f>
        <v>1030.08</v>
      </c>
      <c r="J24" s="40" t="s">
        <v>41</v>
      </c>
      <c r="K24" s="40" t="s">
        <v>41</v>
      </c>
      <c r="L24" s="60">
        <f t="shared" si="6"/>
        <v>1944.3657142857141</v>
      </c>
      <c r="N24" s="137" t="s">
        <v>32</v>
      </c>
      <c r="O24" s="65">
        <f>L25</f>
        <v>1624.6857142857143</v>
      </c>
      <c r="R24" s="26"/>
      <c r="S24" s="127"/>
      <c r="T24" s="138"/>
      <c r="U24" s="93"/>
    </row>
    <row r="25" spans="3:21" ht="20.25" x14ac:dyDescent="0.25">
      <c r="C25" s="16" t="s">
        <v>114</v>
      </c>
      <c r="D25" s="43">
        <v>3</v>
      </c>
      <c r="E25" s="75">
        <v>6400</v>
      </c>
      <c r="F25" s="79">
        <f t="shared" si="4"/>
        <v>914.28571428571433</v>
      </c>
      <c r="G25" s="75">
        <f t="shared" si="5"/>
        <v>9600</v>
      </c>
      <c r="H25" s="42"/>
      <c r="I25" s="60">
        <f>G25*0.37*0.2</f>
        <v>710.40000000000009</v>
      </c>
      <c r="J25" s="40" t="s">
        <v>32</v>
      </c>
      <c r="K25" s="40" t="s">
        <v>32</v>
      </c>
      <c r="L25" s="60">
        <f t="shared" si="6"/>
        <v>1624.6857142857143</v>
      </c>
      <c r="N25" s="90"/>
      <c r="O25" s="90">
        <f>SUM(O20:O24)</f>
        <v>16000</v>
      </c>
      <c r="R25" s="26"/>
      <c r="S25" s="127"/>
      <c r="T25" s="138"/>
      <c r="U25" s="93"/>
    </row>
    <row r="26" spans="3:21" ht="20.25" x14ac:dyDescent="0.25">
      <c r="C26" s="16" t="s">
        <v>115</v>
      </c>
      <c r="D26" s="43">
        <v>4</v>
      </c>
      <c r="E26" s="75">
        <v>6400</v>
      </c>
      <c r="F26" s="79">
        <f t="shared" si="4"/>
        <v>914.28571428571433</v>
      </c>
      <c r="G26" s="90">
        <f t="shared" si="5"/>
        <v>9600</v>
      </c>
      <c r="H26" s="43"/>
      <c r="I26" s="60">
        <f>G26*0.37*0.15</f>
        <v>532.79999999999995</v>
      </c>
      <c r="J26" s="40" t="s">
        <v>44</v>
      </c>
      <c r="K26" s="40" t="s">
        <v>44</v>
      </c>
      <c r="L26" s="60">
        <f t="shared" si="6"/>
        <v>1447.0857142857144</v>
      </c>
      <c r="R26" s="26"/>
      <c r="S26" s="127"/>
      <c r="T26" s="138"/>
      <c r="U26" s="93"/>
    </row>
    <row r="27" spans="3:21" x14ac:dyDescent="0.15">
      <c r="C27" s="76" t="s">
        <v>40</v>
      </c>
      <c r="D27" s="80"/>
      <c r="E27" s="76"/>
      <c r="F27" s="76"/>
      <c r="G27" s="76"/>
      <c r="H27" s="76">
        <f>SUM(H20:H26)</f>
        <v>6048</v>
      </c>
      <c r="I27" s="76">
        <f>SUM(I23:I26)</f>
        <v>3552</v>
      </c>
      <c r="J27" s="94">
        <f>SUM(H27:I27)</f>
        <v>9600</v>
      </c>
      <c r="K27" s="76"/>
      <c r="L27" s="90">
        <f>SUM(L20:L26)</f>
        <v>16000.000000000002</v>
      </c>
      <c r="T27" s="139"/>
      <c r="U27" s="139"/>
    </row>
  </sheetData>
  <mergeCells count="2">
    <mergeCell ref="R1:S1"/>
    <mergeCell ref="R18:U18"/>
  </mergeCells>
  <phoneticPr fontId="4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24"/>
  <sheetViews>
    <sheetView workbookViewId="0">
      <selection activeCell="I17" sqref="I17"/>
    </sheetView>
  </sheetViews>
  <sheetFormatPr defaultColWidth="9" defaultRowHeight="13.5" x14ac:dyDescent="0.15"/>
  <cols>
    <col min="2" max="2" width="11" customWidth="1"/>
    <col min="3" max="3" width="14.75" customWidth="1"/>
    <col min="6" max="6" width="14.75" customWidth="1"/>
    <col min="7" max="7" width="11.125"/>
    <col min="9" max="9" width="14.375" customWidth="1"/>
    <col min="11" max="11" width="9.375"/>
    <col min="15" max="15" width="15.875"/>
    <col min="17" max="17" width="12.625"/>
  </cols>
  <sheetData>
    <row r="2" spans="1:17" ht="20.25" x14ac:dyDescent="0.25">
      <c r="A2" s="78" t="s">
        <v>94</v>
      </c>
      <c r="B2" s="38" t="s">
        <v>95</v>
      </c>
      <c r="C2" s="108" t="s">
        <v>96</v>
      </c>
      <c r="D2" s="78" t="s">
        <v>121</v>
      </c>
      <c r="E2" s="78" t="s">
        <v>98</v>
      </c>
      <c r="F2" s="78" t="s">
        <v>99</v>
      </c>
      <c r="G2" s="78" t="s">
        <v>100</v>
      </c>
      <c r="H2" s="78" t="s">
        <v>101</v>
      </c>
      <c r="I2" s="78" t="s">
        <v>102</v>
      </c>
      <c r="J2" s="78" t="s">
        <v>103</v>
      </c>
      <c r="K2" s="82" t="s">
        <v>104</v>
      </c>
      <c r="L2" s="82" t="s">
        <v>105</v>
      </c>
      <c r="M2" t="s">
        <v>106</v>
      </c>
      <c r="N2" t="s">
        <v>107</v>
      </c>
    </row>
    <row r="3" spans="1:17" ht="21" x14ac:dyDescent="0.3">
      <c r="A3" s="39" t="s">
        <v>109</v>
      </c>
      <c r="B3" s="43">
        <v>1</v>
      </c>
      <c r="C3" s="79">
        <v>777.142857142857</v>
      </c>
      <c r="D3" s="75">
        <v>8160</v>
      </c>
      <c r="E3" s="75">
        <f t="shared" ref="E3:E9" si="0">D3*0.7</f>
        <v>5712</v>
      </c>
      <c r="F3" s="42">
        <v>230.77767441860499</v>
      </c>
      <c r="G3" s="43">
        <v>44.86</v>
      </c>
      <c r="H3" s="75">
        <f t="shared" ref="H3:H9" si="1">D3*0.3</f>
        <v>2448</v>
      </c>
      <c r="I3" s="75">
        <v>7</v>
      </c>
      <c r="J3" s="79">
        <v>1.3607035463508601</v>
      </c>
      <c r="K3" s="83">
        <f t="shared" ref="K3:K9" si="2">E3/F3*G3+(H3/I3*J3)</f>
        <v>1586.1915626032883</v>
      </c>
      <c r="L3" s="64">
        <f t="shared" ref="L3:L9" si="3">C3+K3</f>
        <v>2363.3344197461452</v>
      </c>
      <c r="M3" s="118" t="s">
        <v>76</v>
      </c>
      <c r="N3" s="47" t="s">
        <v>74</v>
      </c>
      <c r="O3" s="40">
        <f>L3/2</f>
        <v>1181.6672098730726</v>
      </c>
      <c r="P3" s="130" t="s">
        <v>74</v>
      </c>
      <c r="Q3" s="60">
        <f>O3+O5+O6</f>
        <v>4312.5869025855209</v>
      </c>
    </row>
    <row r="4" spans="1:17" ht="20.25" x14ac:dyDescent="0.25">
      <c r="A4" s="16" t="s">
        <v>110</v>
      </c>
      <c r="B4" s="43">
        <v>2</v>
      </c>
      <c r="C4" s="79">
        <v>777.142857142857</v>
      </c>
      <c r="D4" s="75">
        <v>8160</v>
      </c>
      <c r="E4" s="75">
        <f t="shared" si="0"/>
        <v>5712</v>
      </c>
      <c r="F4" s="42">
        <v>230.77767441860499</v>
      </c>
      <c r="G4" s="43">
        <v>42.53</v>
      </c>
      <c r="H4" s="75">
        <f t="shared" si="1"/>
        <v>2448</v>
      </c>
      <c r="I4" s="75">
        <v>7</v>
      </c>
      <c r="J4" s="79">
        <v>1.28996057021535</v>
      </c>
      <c r="K4" s="83">
        <f t="shared" si="2"/>
        <v>1503.7816833327058</v>
      </c>
      <c r="L4" s="64">
        <f t="shared" si="3"/>
        <v>2280.9245404755629</v>
      </c>
      <c r="M4" s="47" t="s">
        <v>75</v>
      </c>
      <c r="N4" s="47" t="s">
        <v>75</v>
      </c>
      <c r="O4" s="40">
        <v>2280.9245404755602</v>
      </c>
      <c r="P4" s="130" t="s">
        <v>75</v>
      </c>
      <c r="Q4" s="60">
        <f>O4+O7</f>
        <v>3995.0581008471199</v>
      </c>
    </row>
    <row r="5" spans="1:17" ht="21" x14ac:dyDescent="0.3">
      <c r="A5" s="39" t="s">
        <v>111</v>
      </c>
      <c r="B5" s="43">
        <v>3</v>
      </c>
      <c r="C5" s="79">
        <v>777.142857142857</v>
      </c>
      <c r="D5" s="75">
        <v>8160</v>
      </c>
      <c r="E5" s="75">
        <f t="shared" si="0"/>
        <v>5712</v>
      </c>
      <c r="F5" s="42">
        <v>230.77767441860499</v>
      </c>
      <c r="G5" s="43">
        <v>42.06</v>
      </c>
      <c r="H5" s="75">
        <f t="shared" si="1"/>
        <v>2448</v>
      </c>
      <c r="I5" s="75">
        <v>7</v>
      </c>
      <c r="J5" s="79">
        <v>1.2757051865332101</v>
      </c>
      <c r="K5" s="83">
        <f t="shared" si="2"/>
        <v>1487.1633576527988</v>
      </c>
      <c r="L5" s="64">
        <f t="shared" si="3"/>
        <v>2264.3062147956557</v>
      </c>
      <c r="M5" s="47" t="s">
        <v>74</v>
      </c>
      <c r="N5" s="47" t="s">
        <v>74</v>
      </c>
      <c r="O5" s="40">
        <v>2264.3062147956598</v>
      </c>
      <c r="P5" s="130" t="s">
        <v>76</v>
      </c>
      <c r="Q5" s="60">
        <f>O3+O6+O8</f>
        <v>3712.5592711217014</v>
      </c>
    </row>
    <row r="6" spans="1:17" ht="20.25" x14ac:dyDescent="0.25">
      <c r="A6" s="16" t="s">
        <v>115</v>
      </c>
      <c r="B6" s="43">
        <v>4</v>
      </c>
      <c r="C6" s="79">
        <v>777.142857142857</v>
      </c>
      <c r="D6" s="75">
        <v>8160</v>
      </c>
      <c r="E6" s="75">
        <f t="shared" si="0"/>
        <v>5712</v>
      </c>
      <c r="F6" s="42">
        <v>230.77767441860499</v>
      </c>
      <c r="G6" s="43">
        <v>27.04</v>
      </c>
      <c r="H6" s="75">
        <f t="shared" si="1"/>
        <v>2448</v>
      </c>
      <c r="I6" s="75">
        <v>7</v>
      </c>
      <c r="J6" s="79">
        <v>0.82013952077646302</v>
      </c>
      <c r="K6" s="83">
        <f t="shared" si="2"/>
        <v>956.08409869072011</v>
      </c>
      <c r="L6" s="64">
        <f t="shared" si="3"/>
        <v>1733.226955833577</v>
      </c>
      <c r="M6" s="118" t="s">
        <v>122</v>
      </c>
      <c r="N6" s="47" t="s">
        <v>76</v>
      </c>
      <c r="O6" s="40">
        <f>L6/2</f>
        <v>866.6134779167885</v>
      </c>
      <c r="P6" s="130" t="s">
        <v>88</v>
      </c>
      <c r="Q6" s="60">
        <f>O9</f>
        <v>1579.6904011105801</v>
      </c>
    </row>
    <row r="7" spans="1:17" ht="21" x14ac:dyDescent="0.3">
      <c r="A7" s="39" t="s">
        <v>113</v>
      </c>
      <c r="B7" s="43">
        <v>5</v>
      </c>
      <c r="C7" s="79">
        <v>777.142857142857</v>
      </c>
      <c r="D7" s="75">
        <v>8160</v>
      </c>
      <c r="E7" s="75">
        <f t="shared" si="0"/>
        <v>5712</v>
      </c>
      <c r="F7" s="42">
        <v>230.77767441860499</v>
      </c>
      <c r="G7" s="42">
        <v>26.5</v>
      </c>
      <c r="H7" s="75">
        <f t="shared" si="1"/>
        <v>2448</v>
      </c>
      <c r="I7" s="75">
        <v>7</v>
      </c>
      <c r="J7" s="79">
        <v>0.80376099484379704</v>
      </c>
      <c r="K7" s="83">
        <f t="shared" si="2"/>
        <v>936.99070322870148</v>
      </c>
      <c r="L7" s="64">
        <f t="shared" si="3"/>
        <v>1714.1335603715584</v>
      </c>
      <c r="M7" s="47" t="s">
        <v>75</v>
      </c>
      <c r="N7" s="47" t="s">
        <v>75</v>
      </c>
      <c r="O7" s="131">
        <v>1714.13356037156</v>
      </c>
      <c r="P7" s="132"/>
      <c r="Q7" s="60">
        <f>SUM(Q3:Q6)</f>
        <v>13599.894675664922</v>
      </c>
    </row>
    <row r="8" spans="1:17" ht="21" x14ac:dyDescent="0.3">
      <c r="A8" s="39" t="s">
        <v>112</v>
      </c>
      <c r="B8" s="43">
        <v>6</v>
      </c>
      <c r="C8" s="79">
        <v>777.142857142857</v>
      </c>
      <c r="D8" s="75">
        <v>8160</v>
      </c>
      <c r="E8" s="75">
        <f t="shared" si="0"/>
        <v>5712</v>
      </c>
      <c r="F8" s="42">
        <v>230.77767441860499</v>
      </c>
      <c r="G8" s="42">
        <v>25.09</v>
      </c>
      <c r="H8" s="75">
        <f t="shared" si="1"/>
        <v>2448</v>
      </c>
      <c r="I8" s="75">
        <v>7</v>
      </c>
      <c r="J8" s="79">
        <v>0.76099484379739202</v>
      </c>
      <c r="K8" s="83">
        <f t="shared" si="2"/>
        <v>887.13572618898593</v>
      </c>
      <c r="L8" s="64">
        <f t="shared" si="3"/>
        <v>1664.278583331843</v>
      </c>
      <c r="M8" s="47" t="s">
        <v>76</v>
      </c>
      <c r="N8" s="47" t="s">
        <v>76</v>
      </c>
      <c r="O8" s="131">
        <v>1664.2785833318401</v>
      </c>
    </row>
    <row r="9" spans="1:17" ht="20.25" x14ac:dyDescent="0.25">
      <c r="A9" s="16" t="s">
        <v>114</v>
      </c>
      <c r="B9" s="43">
        <v>7</v>
      </c>
      <c r="C9" s="79">
        <v>777.142857142857</v>
      </c>
      <c r="D9" s="75">
        <v>8160</v>
      </c>
      <c r="E9" s="75">
        <f t="shared" si="0"/>
        <v>5712</v>
      </c>
      <c r="F9" s="42">
        <v>230.77767441860499</v>
      </c>
      <c r="G9" s="43">
        <v>22.697674418604699</v>
      </c>
      <c r="H9" s="75">
        <f t="shared" si="1"/>
        <v>2448</v>
      </c>
      <c r="I9" s="75">
        <v>7</v>
      </c>
      <c r="J9" s="79">
        <v>0.68843416495616305</v>
      </c>
      <c r="K9" s="83">
        <f t="shared" si="2"/>
        <v>802.54754396771796</v>
      </c>
      <c r="L9" s="64">
        <f t="shared" si="3"/>
        <v>1579.6904011105748</v>
      </c>
      <c r="M9" s="47" t="s">
        <v>88</v>
      </c>
      <c r="N9" s="47" t="s">
        <v>88</v>
      </c>
      <c r="O9" s="131">
        <v>1579.6904011105801</v>
      </c>
    </row>
    <row r="10" spans="1:17" x14ac:dyDescent="0.15">
      <c r="A10" s="76" t="s">
        <v>40</v>
      </c>
      <c r="B10" s="76"/>
      <c r="C10" s="80">
        <f>SUM(C3:C9)</f>
        <v>5439.9999999999991</v>
      </c>
      <c r="D10" s="76"/>
      <c r="E10" s="76"/>
      <c r="F10" s="76"/>
      <c r="G10" s="76"/>
      <c r="H10" s="76"/>
      <c r="I10" s="76"/>
      <c r="J10" s="76"/>
      <c r="K10" s="84">
        <f>SUM(K3:K9)</f>
        <v>8159.8946756649184</v>
      </c>
      <c r="L10" s="84">
        <f>SUM(L3:L9)</f>
        <v>13599.894675664917</v>
      </c>
    </row>
    <row r="16" spans="1:17" ht="20.25" x14ac:dyDescent="0.25">
      <c r="A16" s="96"/>
      <c r="B16" s="96"/>
      <c r="C16" s="125"/>
      <c r="D16" s="26"/>
      <c r="E16" s="96"/>
      <c r="F16" s="96"/>
      <c r="G16" s="96"/>
    </row>
    <row r="17" spans="1:8" ht="20.25" x14ac:dyDescent="0.3">
      <c r="A17" s="99"/>
      <c r="B17" s="126"/>
      <c r="C17" s="111"/>
      <c r="D17" s="26"/>
      <c r="E17" s="127"/>
      <c r="F17" s="128"/>
      <c r="G17" s="111"/>
      <c r="H17" s="93"/>
    </row>
    <row r="18" spans="1:8" ht="20.25" x14ac:dyDescent="0.25">
      <c r="A18" s="101"/>
      <c r="B18" s="126"/>
      <c r="C18" s="111"/>
      <c r="D18" s="26"/>
      <c r="E18" s="127"/>
      <c r="F18" s="107"/>
      <c r="G18" s="111"/>
      <c r="H18" s="93"/>
    </row>
    <row r="19" spans="1:8" ht="20.25" x14ac:dyDescent="0.3">
      <c r="A19" s="99"/>
      <c r="B19" s="126"/>
      <c r="C19" s="111"/>
      <c r="D19" s="26"/>
      <c r="E19" s="127"/>
      <c r="F19" s="107"/>
      <c r="G19" s="111"/>
      <c r="H19" s="93"/>
    </row>
    <row r="20" spans="1:8" ht="20.25" x14ac:dyDescent="0.25">
      <c r="A20" s="101"/>
      <c r="B20" s="126"/>
      <c r="C20" s="111"/>
      <c r="D20" s="26"/>
      <c r="E20" s="127"/>
      <c r="F20" s="107"/>
      <c r="G20" s="111"/>
      <c r="H20" s="93"/>
    </row>
    <row r="21" spans="1:8" ht="20.25" x14ac:dyDescent="0.3">
      <c r="A21" s="99"/>
      <c r="B21" s="126"/>
      <c r="C21" s="111"/>
      <c r="D21" s="26"/>
      <c r="E21" s="127"/>
      <c r="F21" s="107"/>
      <c r="G21" s="129"/>
      <c r="H21" s="93"/>
    </row>
    <row r="22" spans="1:8" ht="20.25" x14ac:dyDescent="0.3">
      <c r="A22" s="99"/>
      <c r="B22" s="126"/>
      <c r="C22" s="111"/>
      <c r="D22" s="26"/>
      <c r="E22" s="127"/>
      <c r="F22" s="107"/>
      <c r="G22" s="129"/>
      <c r="H22" s="93"/>
    </row>
    <row r="23" spans="1:8" ht="20.25" x14ac:dyDescent="0.25">
      <c r="A23" s="101"/>
      <c r="B23" s="126"/>
      <c r="C23" s="111"/>
      <c r="D23" s="26"/>
      <c r="E23" s="127"/>
      <c r="F23" s="107"/>
      <c r="G23" s="111"/>
      <c r="H23" s="93"/>
    </row>
    <row r="24" spans="1:8" x14ac:dyDescent="0.15">
      <c r="C24" s="107"/>
      <c r="F24" s="26"/>
    </row>
  </sheetData>
  <phoneticPr fontId="4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10"/>
  <sheetViews>
    <sheetView workbookViewId="0">
      <selection activeCell="E26" sqref="E26"/>
    </sheetView>
  </sheetViews>
  <sheetFormatPr defaultColWidth="9" defaultRowHeight="13.5" x14ac:dyDescent="0.15"/>
  <cols>
    <col min="4" max="4" width="15.25" customWidth="1"/>
    <col min="6" max="6" width="13.875" customWidth="1"/>
    <col min="7" max="7" width="11.125"/>
    <col min="15" max="15" width="12.625"/>
    <col min="18" max="18" width="12.625"/>
  </cols>
  <sheetData>
    <row r="2" spans="1:18" ht="20.25" x14ac:dyDescent="0.25">
      <c r="A2" s="78" t="s">
        <v>94</v>
      </c>
      <c r="B2" s="38" t="s">
        <v>95</v>
      </c>
      <c r="C2" s="108" t="s">
        <v>96</v>
      </c>
      <c r="D2" s="78" t="s">
        <v>121</v>
      </c>
      <c r="E2" s="78" t="s">
        <v>98</v>
      </c>
      <c r="F2" s="78" t="s">
        <v>99</v>
      </c>
      <c r="G2" s="78" t="s">
        <v>100</v>
      </c>
      <c r="H2" s="78" t="s">
        <v>101</v>
      </c>
      <c r="I2" s="78" t="s">
        <v>102</v>
      </c>
      <c r="J2" s="78" t="s">
        <v>103</v>
      </c>
      <c r="K2" s="82" t="s">
        <v>104</v>
      </c>
      <c r="L2" s="82" t="s">
        <v>105</v>
      </c>
      <c r="M2" t="s">
        <v>106</v>
      </c>
      <c r="N2" t="s">
        <v>107</v>
      </c>
    </row>
    <row r="3" spans="1:18" ht="20.25" x14ac:dyDescent="0.25">
      <c r="A3" s="16" t="s">
        <v>110</v>
      </c>
      <c r="B3" s="43">
        <v>1</v>
      </c>
      <c r="C3" s="79">
        <v>365.71428571428601</v>
      </c>
      <c r="D3" s="75">
        <v>3840</v>
      </c>
      <c r="E3" s="75">
        <f t="shared" ref="E3:E9" si="0">D3*0.7</f>
        <v>2688</v>
      </c>
      <c r="F3" s="42">
        <v>273.19201550387601</v>
      </c>
      <c r="G3" s="43">
        <v>48.6</v>
      </c>
      <c r="H3" s="75">
        <f t="shared" ref="H3:H9" si="1">D3*0.3</f>
        <v>1152</v>
      </c>
      <c r="I3" s="75">
        <v>7</v>
      </c>
      <c r="J3" s="79">
        <v>1.2451960030745599</v>
      </c>
      <c r="K3" s="83">
        <f t="shared" ref="K3:K9" si="2">E3/F3*G3+(H3/I3*J3)</f>
        <v>683.11042768426876</v>
      </c>
      <c r="L3" s="64">
        <f t="shared" ref="L3:L9" si="3">C3+K3</f>
        <v>1048.8247133985546</v>
      </c>
      <c r="M3" s="50" t="s">
        <v>86</v>
      </c>
      <c r="N3" s="50" t="s">
        <v>86</v>
      </c>
      <c r="O3" s="124">
        <v>1048.8247133985501</v>
      </c>
      <c r="P3" s="124"/>
      <c r="Q3" s="91" t="s">
        <v>86</v>
      </c>
      <c r="R3" s="65">
        <f>O3+O8</f>
        <v>1859.685238716967</v>
      </c>
    </row>
    <row r="4" spans="1:18" ht="21" x14ac:dyDescent="0.3">
      <c r="A4" s="39" t="s">
        <v>111</v>
      </c>
      <c r="B4" s="43">
        <v>2</v>
      </c>
      <c r="C4" s="79">
        <v>365.71428571428601</v>
      </c>
      <c r="D4" s="75">
        <v>3840</v>
      </c>
      <c r="E4" s="75">
        <f t="shared" si="0"/>
        <v>2688</v>
      </c>
      <c r="F4" s="42">
        <v>273.19201550387601</v>
      </c>
      <c r="G4" s="43">
        <v>47</v>
      </c>
      <c r="H4" s="75">
        <f t="shared" si="1"/>
        <v>1152</v>
      </c>
      <c r="I4" s="75">
        <v>7</v>
      </c>
      <c r="J4" s="79">
        <v>1.2042018959774501</v>
      </c>
      <c r="K4" s="83">
        <f t="shared" si="2"/>
        <v>660.62119549713145</v>
      </c>
      <c r="L4" s="64">
        <f t="shared" si="3"/>
        <v>1026.3354812114176</v>
      </c>
      <c r="M4" s="50" t="s">
        <v>85</v>
      </c>
      <c r="N4" s="50" t="s">
        <v>85</v>
      </c>
      <c r="O4" s="124">
        <v>1026.3354812114201</v>
      </c>
      <c r="P4" s="124"/>
      <c r="Q4" s="91" t="s">
        <v>85</v>
      </c>
      <c r="R4" s="65">
        <f>O4+O6</f>
        <v>1903.3986837807201</v>
      </c>
    </row>
    <row r="5" spans="1:18" ht="21" x14ac:dyDescent="0.3">
      <c r="A5" s="39" t="s">
        <v>109</v>
      </c>
      <c r="B5" s="43">
        <v>3</v>
      </c>
      <c r="C5" s="79">
        <v>365.71428571428601</v>
      </c>
      <c r="D5" s="75">
        <v>3840</v>
      </c>
      <c r="E5" s="75">
        <f t="shared" si="0"/>
        <v>2688</v>
      </c>
      <c r="F5" s="42">
        <v>273.19201550387601</v>
      </c>
      <c r="G5" s="43">
        <v>44.98</v>
      </c>
      <c r="H5" s="75">
        <f t="shared" si="1"/>
        <v>1152</v>
      </c>
      <c r="I5" s="75">
        <v>7</v>
      </c>
      <c r="J5" s="79">
        <v>1.1524468357673601</v>
      </c>
      <c r="K5" s="83">
        <f t="shared" si="2"/>
        <v>632.2285398608725</v>
      </c>
      <c r="L5" s="64">
        <f t="shared" si="3"/>
        <v>997.94282557515851</v>
      </c>
      <c r="M5" s="50" t="s">
        <v>87</v>
      </c>
      <c r="N5" s="50" t="s">
        <v>87</v>
      </c>
      <c r="O5" s="124">
        <v>997.94282557515805</v>
      </c>
      <c r="P5" s="124"/>
      <c r="Q5" s="91" t="s">
        <v>87</v>
      </c>
      <c r="R5" s="65">
        <f>O5+O9</f>
        <v>1804.9429172870332</v>
      </c>
    </row>
    <row r="6" spans="1:18" ht="21" x14ac:dyDescent="0.3">
      <c r="A6" s="39" t="s">
        <v>112</v>
      </c>
      <c r="B6" s="43">
        <v>4</v>
      </c>
      <c r="C6" s="79">
        <v>365.71428571428601</v>
      </c>
      <c r="D6" s="75">
        <v>3840</v>
      </c>
      <c r="E6" s="75">
        <f t="shared" si="0"/>
        <v>2688</v>
      </c>
      <c r="F6" s="42">
        <v>273.19201550387601</v>
      </c>
      <c r="G6" s="43">
        <v>36.380000000000003</v>
      </c>
      <c r="H6" s="75">
        <f t="shared" si="1"/>
        <v>1152</v>
      </c>
      <c r="I6" s="75">
        <v>7</v>
      </c>
      <c r="J6" s="79">
        <v>0.93210351012042003</v>
      </c>
      <c r="K6" s="83">
        <f t="shared" si="2"/>
        <v>511.34891685501407</v>
      </c>
      <c r="L6" s="64">
        <f t="shared" si="3"/>
        <v>877.06320256930007</v>
      </c>
      <c r="M6" s="118" t="s">
        <v>85</v>
      </c>
      <c r="N6" s="50" t="s">
        <v>85</v>
      </c>
      <c r="O6" s="124">
        <v>877.06320256929996</v>
      </c>
      <c r="P6" s="124"/>
      <c r="Q6" s="91" t="s">
        <v>90</v>
      </c>
      <c r="R6" s="65">
        <v>415.94866396340097</v>
      </c>
    </row>
    <row r="7" spans="1:18" ht="21" x14ac:dyDescent="0.3">
      <c r="A7" s="39" t="s">
        <v>113</v>
      </c>
      <c r="B7" s="43">
        <v>5</v>
      </c>
      <c r="C7" s="79">
        <v>365.71428571428601</v>
      </c>
      <c r="D7" s="75">
        <v>3840</v>
      </c>
      <c r="E7" s="75">
        <f t="shared" si="0"/>
        <v>2688</v>
      </c>
      <c r="F7" s="42">
        <v>273.19201550387601</v>
      </c>
      <c r="G7" s="42">
        <v>33.1666666666667</v>
      </c>
      <c r="H7" s="75">
        <f t="shared" si="1"/>
        <v>1152</v>
      </c>
      <c r="I7" s="75">
        <v>7</v>
      </c>
      <c r="J7" s="79">
        <v>0.84977367836706896</v>
      </c>
      <c r="K7" s="83">
        <f t="shared" si="2"/>
        <v>466.1830422125156</v>
      </c>
      <c r="L7" s="64">
        <f t="shared" si="3"/>
        <v>831.89732792680161</v>
      </c>
      <c r="M7" s="118" t="s">
        <v>91</v>
      </c>
      <c r="N7" s="50" t="s">
        <v>90</v>
      </c>
      <c r="O7" s="26">
        <f>L7/2</f>
        <v>415.9486639634008</v>
      </c>
      <c r="P7" s="26"/>
      <c r="Q7" s="121" t="s">
        <v>91</v>
      </c>
      <c r="R7" s="65">
        <v>415.94866396340097</v>
      </c>
    </row>
    <row r="8" spans="1:18" ht="20.25" x14ac:dyDescent="0.25">
      <c r="A8" s="16" t="s">
        <v>115</v>
      </c>
      <c r="B8" s="43">
        <v>6</v>
      </c>
      <c r="C8" s="79">
        <v>365.71428571428601</v>
      </c>
      <c r="D8" s="75">
        <v>3840</v>
      </c>
      <c r="E8" s="75">
        <f t="shared" si="0"/>
        <v>2688</v>
      </c>
      <c r="F8" s="42">
        <v>273.19201550387601</v>
      </c>
      <c r="G8" s="42">
        <v>31.67</v>
      </c>
      <c r="H8" s="75">
        <f t="shared" si="1"/>
        <v>1152</v>
      </c>
      <c r="I8" s="75">
        <v>7</v>
      </c>
      <c r="J8" s="79">
        <v>0.81142710735331802</v>
      </c>
      <c r="K8" s="83">
        <f t="shared" si="2"/>
        <v>445.14623960413132</v>
      </c>
      <c r="L8" s="64">
        <f t="shared" si="3"/>
        <v>810.86052531841733</v>
      </c>
      <c r="M8" s="118" t="s">
        <v>86</v>
      </c>
      <c r="N8" s="50" t="s">
        <v>86</v>
      </c>
      <c r="O8">
        <v>810.86052531841699</v>
      </c>
      <c r="Q8" s="90"/>
      <c r="R8" s="65">
        <f>SUM(R3:R7)</f>
        <v>6399.9241677115215</v>
      </c>
    </row>
    <row r="9" spans="1:18" ht="20.25" x14ac:dyDescent="0.25">
      <c r="A9" s="16" t="s">
        <v>114</v>
      </c>
      <c r="B9" s="43">
        <v>7</v>
      </c>
      <c r="C9" s="79">
        <v>365.71428571428601</v>
      </c>
      <c r="D9" s="75">
        <v>3840</v>
      </c>
      <c r="E9" s="75">
        <f t="shared" si="0"/>
        <v>2688</v>
      </c>
      <c r="F9" s="42">
        <v>273.19201550387601</v>
      </c>
      <c r="G9" s="43">
        <v>31.395348837209301</v>
      </c>
      <c r="H9" s="75">
        <f t="shared" si="1"/>
        <v>1152</v>
      </c>
      <c r="I9" s="75">
        <v>7</v>
      </c>
      <c r="J9" s="79">
        <v>0.80439018286470199</v>
      </c>
      <c r="K9" s="83">
        <f t="shared" si="2"/>
        <v>441.28580599758948</v>
      </c>
      <c r="L9" s="64">
        <f t="shared" si="3"/>
        <v>807.00009171187548</v>
      </c>
      <c r="M9" s="118" t="s">
        <v>87</v>
      </c>
      <c r="N9" s="50" t="s">
        <v>87</v>
      </c>
      <c r="O9">
        <v>807.00009171187503</v>
      </c>
    </row>
    <row r="10" spans="1:18" x14ac:dyDescent="0.15">
      <c r="A10" s="76" t="s">
        <v>40</v>
      </c>
      <c r="B10" s="76"/>
      <c r="C10" s="80">
        <f>SUM(C3:C9)</f>
        <v>2560.0000000000018</v>
      </c>
      <c r="D10" s="76"/>
      <c r="E10" s="76"/>
      <c r="F10" s="76"/>
      <c r="G10" s="76"/>
      <c r="H10" s="76"/>
      <c r="I10" s="76"/>
      <c r="J10" s="76"/>
      <c r="K10" s="84">
        <f>SUM(K3:K9)</f>
        <v>3839.9241677115233</v>
      </c>
      <c r="L10" s="84">
        <f>SUM(L3:L9)</f>
        <v>6399.924167711526</v>
      </c>
    </row>
  </sheetData>
  <phoneticPr fontId="4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R23"/>
  <sheetViews>
    <sheetView workbookViewId="0">
      <selection sqref="A1:I14"/>
    </sheetView>
  </sheetViews>
  <sheetFormatPr defaultColWidth="9" defaultRowHeight="13.5" x14ac:dyDescent="0.15"/>
  <cols>
    <col min="2" max="2" width="6.875" customWidth="1"/>
    <col min="3" max="3" width="8" customWidth="1"/>
    <col min="4" max="4" width="14.75" customWidth="1"/>
    <col min="5" max="5" width="13.625" customWidth="1"/>
    <col min="7" max="7" width="15.125" customWidth="1"/>
    <col min="11" max="11" width="13.875" customWidth="1"/>
    <col min="16" max="16" width="12.625"/>
    <col min="18" max="18" width="12.625"/>
  </cols>
  <sheetData>
    <row r="2" spans="2:18" ht="20.25" x14ac:dyDescent="0.25">
      <c r="B2" s="78" t="s">
        <v>94</v>
      </c>
      <c r="C2" s="38" t="s">
        <v>95</v>
      </c>
      <c r="D2" s="108" t="s">
        <v>96</v>
      </c>
      <c r="E2" s="78" t="s">
        <v>121</v>
      </c>
      <c r="F2" s="78" t="s">
        <v>98</v>
      </c>
      <c r="G2" s="78" t="s">
        <v>99</v>
      </c>
      <c r="H2" s="78" t="s">
        <v>100</v>
      </c>
      <c r="I2" s="78" t="s">
        <v>101</v>
      </c>
      <c r="J2" s="78" t="s">
        <v>102</v>
      </c>
      <c r="K2" s="78" t="s">
        <v>103</v>
      </c>
      <c r="L2" s="82" t="s">
        <v>104</v>
      </c>
      <c r="M2" s="82" t="s">
        <v>105</v>
      </c>
      <c r="N2" t="s">
        <v>106</v>
      </c>
      <c r="O2" t="s">
        <v>107</v>
      </c>
    </row>
    <row r="3" spans="2:18" ht="21" x14ac:dyDescent="0.3">
      <c r="B3" s="39" t="s">
        <v>111</v>
      </c>
      <c r="C3" s="43">
        <v>1</v>
      </c>
      <c r="D3" s="79">
        <v>777.142857142857</v>
      </c>
      <c r="E3" s="75">
        <v>8160</v>
      </c>
      <c r="F3" s="75">
        <f t="shared" ref="F3:F9" si="0">E3*0.7</f>
        <v>5712</v>
      </c>
      <c r="G3" s="42">
        <v>440.04408914728702</v>
      </c>
      <c r="H3" s="41">
        <v>74.099999999999994</v>
      </c>
      <c r="I3" s="75">
        <f t="shared" ref="I3:I9" si="1">E3*0.3</f>
        <v>2448</v>
      </c>
      <c r="J3" s="75">
        <v>7</v>
      </c>
      <c r="K3" s="79">
        <v>1.1788100540884501</v>
      </c>
      <c r="L3" s="83">
        <f t="shared" ref="L3:L9" si="2">F3/G3*H3+(I3/J3*K3)</f>
        <v>1374.1030628171306</v>
      </c>
      <c r="M3" s="64">
        <f t="shared" ref="M3:M9" si="3">D3+L3</f>
        <v>2151.2459199599875</v>
      </c>
      <c r="N3" s="118" t="s">
        <v>72</v>
      </c>
      <c r="O3" s="47" t="s">
        <v>70</v>
      </c>
      <c r="P3" s="122">
        <f>M3/2</f>
        <v>1075.6229599799938</v>
      </c>
      <c r="Q3" s="123" t="s">
        <v>70</v>
      </c>
      <c r="R3" s="65">
        <f>P3+P4+P8</f>
        <v>4098.7870876251554</v>
      </c>
    </row>
    <row r="4" spans="2:18" ht="21" x14ac:dyDescent="0.3">
      <c r="B4" s="39" t="s">
        <v>109</v>
      </c>
      <c r="C4" s="43">
        <v>2</v>
      </c>
      <c r="D4" s="79">
        <v>777.142857142857</v>
      </c>
      <c r="E4" s="75">
        <v>8160</v>
      </c>
      <c r="F4" s="75">
        <f t="shared" si="0"/>
        <v>5712</v>
      </c>
      <c r="G4" s="42">
        <v>440.04408914728702</v>
      </c>
      <c r="H4" s="41">
        <v>72.88</v>
      </c>
      <c r="I4" s="75">
        <f t="shared" si="1"/>
        <v>2448</v>
      </c>
      <c r="J4" s="75">
        <v>7</v>
      </c>
      <c r="K4" s="79">
        <v>1.15940184537066</v>
      </c>
      <c r="L4" s="83">
        <f t="shared" si="2"/>
        <v>1351.4795036182506</v>
      </c>
      <c r="M4" s="64">
        <f t="shared" si="3"/>
        <v>2128.6223607611078</v>
      </c>
      <c r="N4" s="118" t="s">
        <v>70</v>
      </c>
      <c r="O4" s="47" t="s">
        <v>70</v>
      </c>
      <c r="P4" s="122">
        <v>2128.62236076111</v>
      </c>
      <c r="Q4" s="123" t="s">
        <v>61</v>
      </c>
      <c r="R4" s="65">
        <f>P5+P7+P9</f>
        <v>5678.1067572657294</v>
      </c>
    </row>
    <row r="5" spans="2:18" ht="20.25" x14ac:dyDescent="0.25">
      <c r="B5" s="16" t="s">
        <v>110</v>
      </c>
      <c r="C5" s="43">
        <v>3</v>
      </c>
      <c r="D5" s="79">
        <v>777.142857142857</v>
      </c>
      <c r="E5" s="75">
        <v>8160</v>
      </c>
      <c r="F5" s="75">
        <f t="shared" si="0"/>
        <v>5712</v>
      </c>
      <c r="G5" s="42">
        <v>440.04408914728702</v>
      </c>
      <c r="H5" s="41">
        <v>68.98</v>
      </c>
      <c r="I5" s="75">
        <f t="shared" si="1"/>
        <v>2448</v>
      </c>
      <c r="J5" s="75">
        <v>7</v>
      </c>
      <c r="K5" s="79">
        <v>1.0973592109449599</v>
      </c>
      <c r="L5" s="83">
        <f t="shared" si="2"/>
        <v>1279.1582897857729</v>
      </c>
      <c r="M5" s="64">
        <f t="shared" si="3"/>
        <v>2056.3011469286298</v>
      </c>
      <c r="N5" s="118" t="s">
        <v>61</v>
      </c>
      <c r="O5" s="47" t="s">
        <v>61</v>
      </c>
      <c r="P5" s="122">
        <v>2056.3011469286298</v>
      </c>
      <c r="Q5" s="123" t="s">
        <v>72</v>
      </c>
      <c r="R5" s="65">
        <f>P3+P6+P8</f>
        <v>3823.2401722732361</v>
      </c>
    </row>
    <row r="6" spans="2:18" ht="21" x14ac:dyDescent="0.3">
      <c r="B6" s="39" t="s">
        <v>113</v>
      </c>
      <c r="C6" s="43">
        <v>4</v>
      </c>
      <c r="D6" s="79">
        <v>777.142857142857</v>
      </c>
      <c r="E6" s="75">
        <v>8160</v>
      </c>
      <c r="F6" s="75">
        <f t="shared" si="0"/>
        <v>5712</v>
      </c>
      <c r="G6" s="42">
        <v>440.04408914728702</v>
      </c>
      <c r="H6" s="44">
        <v>58.0208333333333</v>
      </c>
      <c r="I6" s="75">
        <f t="shared" si="1"/>
        <v>2448</v>
      </c>
      <c r="J6" s="75">
        <v>7</v>
      </c>
      <c r="K6" s="79">
        <v>0.92301675681408402</v>
      </c>
      <c r="L6" s="83">
        <f t="shared" si="2"/>
        <v>1075.932588266337</v>
      </c>
      <c r="M6" s="64">
        <f t="shared" si="3"/>
        <v>1853.0754454091939</v>
      </c>
      <c r="N6" s="118" t="s">
        <v>72</v>
      </c>
      <c r="O6" s="47" t="s">
        <v>72</v>
      </c>
      <c r="P6" s="93">
        <v>1853.07544540919</v>
      </c>
      <c r="Q6" s="65"/>
      <c r="R6" s="65">
        <f>SUM(R3:R5)</f>
        <v>13600.13401716412</v>
      </c>
    </row>
    <row r="7" spans="2:18" ht="20.25" x14ac:dyDescent="0.25">
      <c r="B7" s="16" t="s">
        <v>115</v>
      </c>
      <c r="C7" s="43">
        <v>5</v>
      </c>
      <c r="D7" s="79">
        <v>777.142857142857</v>
      </c>
      <c r="E7" s="75">
        <v>8160</v>
      </c>
      <c r="F7" s="75">
        <f t="shared" si="0"/>
        <v>5712</v>
      </c>
      <c r="G7" s="42">
        <v>440.04408914728702</v>
      </c>
      <c r="H7" s="41">
        <v>57.47</v>
      </c>
      <c r="I7" s="75">
        <f t="shared" si="1"/>
        <v>2448</v>
      </c>
      <c r="J7" s="75">
        <v>7</v>
      </c>
      <c r="K7" s="79">
        <v>0.91425389755011099</v>
      </c>
      <c r="L7" s="83">
        <f t="shared" si="2"/>
        <v>1065.7179894750404</v>
      </c>
      <c r="M7" s="64">
        <f t="shared" si="3"/>
        <v>1842.8608466178976</v>
      </c>
      <c r="N7" s="118" t="s">
        <v>61</v>
      </c>
      <c r="O7" s="47" t="s">
        <v>61</v>
      </c>
      <c r="P7">
        <v>1842.8608466179001</v>
      </c>
    </row>
    <row r="8" spans="2:18" ht="21" x14ac:dyDescent="0.3">
      <c r="B8" s="39" t="s">
        <v>112</v>
      </c>
      <c r="C8" s="43">
        <v>6</v>
      </c>
      <c r="D8" s="79">
        <v>777.142857142857</v>
      </c>
      <c r="E8" s="75">
        <v>8160</v>
      </c>
      <c r="F8" s="75">
        <f t="shared" si="0"/>
        <v>5712</v>
      </c>
      <c r="G8" s="42">
        <v>440.04408914728702</v>
      </c>
      <c r="H8" s="41">
        <v>54.57</v>
      </c>
      <c r="I8" s="75">
        <f t="shared" si="1"/>
        <v>2448</v>
      </c>
      <c r="J8" s="75">
        <v>7</v>
      </c>
      <c r="K8" s="79">
        <v>0.86811963092586697</v>
      </c>
      <c r="L8" s="83">
        <f t="shared" si="2"/>
        <v>1011.9406766252474</v>
      </c>
      <c r="M8" s="64">
        <f t="shared" si="3"/>
        <v>1789.0835337681044</v>
      </c>
      <c r="N8" s="118" t="s">
        <v>70</v>
      </c>
      <c r="O8" s="47" t="s">
        <v>72</v>
      </c>
      <c r="P8">
        <f>M8/2</f>
        <v>894.54176688405221</v>
      </c>
    </row>
    <row r="9" spans="2:18" ht="20.25" x14ac:dyDescent="0.25">
      <c r="B9" s="16" t="s">
        <v>114</v>
      </c>
      <c r="C9" s="43">
        <v>7</v>
      </c>
      <c r="D9" s="79">
        <v>777.142857142857</v>
      </c>
      <c r="E9" s="75">
        <v>8160</v>
      </c>
      <c r="F9" s="75">
        <f t="shared" si="0"/>
        <v>5712</v>
      </c>
      <c r="G9" s="42">
        <v>440.04408914728702</v>
      </c>
      <c r="H9" s="44">
        <v>54.023255813953497</v>
      </c>
      <c r="I9" s="75">
        <f t="shared" si="1"/>
        <v>2448</v>
      </c>
      <c r="J9" s="75">
        <v>7</v>
      </c>
      <c r="K9" s="79">
        <v>0.85942182332092698</v>
      </c>
      <c r="L9" s="83">
        <f t="shared" si="2"/>
        <v>1001.801906576341</v>
      </c>
      <c r="M9" s="64">
        <f t="shared" si="3"/>
        <v>1778.9447637191979</v>
      </c>
      <c r="N9" s="118" t="s">
        <v>61</v>
      </c>
      <c r="O9" s="47" t="s">
        <v>61</v>
      </c>
      <c r="P9">
        <v>1778.9447637192</v>
      </c>
    </row>
    <row r="10" spans="2:18" x14ac:dyDescent="0.15">
      <c r="B10" s="76" t="s">
        <v>40</v>
      </c>
      <c r="C10" s="76"/>
      <c r="D10" s="80">
        <f>SUM(D3:D9)</f>
        <v>5439.9999999999991</v>
      </c>
      <c r="E10" s="76"/>
      <c r="F10" s="76"/>
      <c r="G10" s="76"/>
      <c r="H10" s="76"/>
      <c r="I10" s="76"/>
      <c r="J10" s="76"/>
      <c r="K10" s="76"/>
      <c r="L10" s="84">
        <f>SUM(L3:L9)</f>
        <v>8160.1340171641205</v>
      </c>
      <c r="M10" s="84">
        <f>SUM(M3:M9)</f>
        <v>13600.134017164117</v>
      </c>
    </row>
    <row r="14" spans="2:18" ht="20.25" x14ac:dyDescent="0.25">
      <c r="C14" s="78" t="s">
        <v>94</v>
      </c>
      <c r="D14" s="81" t="s">
        <v>95</v>
      </c>
      <c r="E14" s="75" t="s">
        <v>116</v>
      </c>
      <c r="F14" s="78" t="s">
        <v>117</v>
      </c>
      <c r="G14" s="78" t="s">
        <v>118</v>
      </c>
      <c r="H14" s="78" t="s">
        <v>119</v>
      </c>
      <c r="I14" s="78" t="s">
        <v>120</v>
      </c>
      <c r="J14" s="76" t="s">
        <v>106</v>
      </c>
      <c r="K14" s="76" t="s">
        <v>107</v>
      </c>
      <c r="L14" s="75" t="s">
        <v>40</v>
      </c>
    </row>
    <row r="15" spans="2:18" ht="21" x14ac:dyDescent="0.3">
      <c r="C15" s="39" t="s">
        <v>111</v>
      </c>
      <c r="D15" s="43">
        <v>1</v>
      </c>
      <c r="E15" s="75">
        <v>2240</v>
      </c>
      <c r="F15" s="79">
        <f t="shared" ref="F15:F21" si="4">E15/7</f>
        <v>320</v>
      </c>
      <c r="G15" s="75">
        <f t="shared" ref="G15:G21" si="5">5600*0.6</f>
        <v>3360</v>
      </c>
      <c r="H15" s="85">
        <f>G15*63%*43%</f>
        <v>910.22400000000005</v>
      </c>
      <c r="I15" s="75"/>
      <c r="J15" s="118" t="s">
        <v>72</v>
      </c>
      <c r="K15" s="47" t="s">
        <v>70</v>
      </c>
      <c r="L15" s="60">
        <f>F15+H15+I15</f>
        <v>1230.2240000000002</v>
      </c>
      <c r="M15">
        <f>L15/2</f>
        <v>615.11200000000008</v>
      </c>
      <c r="O15" s="47" t="s">
        <v>70</v>
      </c>
      <c r="P15" s="75">
        <f>M15+M16+M20</f>
        <v>1917.9759999999999</v>
      </c>
    </row>
    <row r="16" spans="2:18" ht="21" x14ac:dyDescent="0.3">
      <c r="C16" s="39" t="s">
        <v>109</v>
      </c>
      <c r="D16" s="43">
        <v>2</v>
      </c>
      <c r="E16" s="75">
        <v>2240</v>
      </c>
      <c r="F16" s="79">
        <f t="shared" si="4"/>
        <v>320</v>
      </c>
      <c r="G16" s="75">
        <f t="shared" si="5"/>
        <v>3360</v>
      </c>
      <c r="H16" s="85">
        <f>G16*0.63*0.33</f>
        <v>698.5440000000001</v>
      </c>
      <c r="I16" s="75"/>
      <c r="J16" s="118" t="s">
        <v>70</v>
      </c>
      <c r="K16" s="47" t="s">
        <v>70</v>
      </c>
      <c r="L16" s="60">
        <f t="shared" ref="L16:L21" si="6">F16+H16+I16</f>
        <v>1018.5440000000001</v>
      </c>
      <c r="M16">
        <v>1018.544</v>
      </c>
      <c r="O16" s="47" t="s">
        <v>61</v>
      </c>
      <c r="P16" s="75">
        <f>M17+M19+M21</f>
        <v>2015.04</v>
      </c>
    </row>
    <row r="17" spans="3:16" ht="20.25" x14ac:dyDescent="0.25">
      <c r="C17" s="16" t="s">
        <v>110</v>
      </c>
      <c r="D17" s="43">
        <v>3</v>
      </c>
      <c r="E17" s="75">
        <v>2240</v>
      </c>
      <c r="F17" s="79">
        <f t="shared" si="4"/>
        <v>320</v>
      </c>
      <c r="G17" s="75">
        <f t="shared" si="5"/>
        <v>3360</v>
      </c>
      <c r="H17" s="85">
        <f>G17*0.63*0.24</f>
        <v>508.03200000000004</v>
      </c>
      <c r="I17" s="75"/>
      <c r="J17" s="118" t="s">
        <v>61</v>
      </c>
      <c r="K17" s="47" t="s">
        <v>61</v>
      </c>
      <c r="L17" s="60">
        <f t="shared" si="6"/>
        <v>828.03200000000004</v>
      </c>
      <c r="M17">
        <v>828.03200000000004</v>
      </c>
      <c r="O17" s="47" t="s">
        <v>72</v>
      </c>
      <c r="P17" s="75">
        <f>M15+M18+M20</f>
        <v>1666.9840000000002</v>
      </c>
    </row>
    <row r="18" spans="3:16" ht="21" x14ac:dyDescent="0.3">
      <c r="C18" s="39" t="s">
        <v>113</v>
      </c>
      <c r="D18" s="43">
        <v>1</v>
      </c>
      <c r="E18" s="75">
        <v>2240</v>
      </c>
      <c r="F18" s="79">
        <f t="shared" si="4"/>
        <v>320</v>
      </c>
      <c r="G18" s="75">
        <f t="shared" si="5"/>
        <v>3360</v>
      </c>
      <c r="H18" s="43"/>
      <c r="I18" s="60">
        <f>G18*0.37*0.36</f>
        <v>447.55200000000002</v>
      </c>
      <c r="J18" s="118" t="s">
        <v>72</v>
      </c>
      <c r="K18" s="47" t="s">
        <v>72</v>
      </c>
      <c r="L18" s="60">
        <f t="shared" si="6"/>
        <v>767.55200000000002</v>
      </c>
      <c r="M18">
        <v>767.55200000000002</v>
      </c>
      <c r="O18" s="75"/>
      <c r="P18" s="75">
        <f>SUM(P15:P17)</f>
        <v>5600</v>
      </c>
    </row>
    <row r="19" spans="3:16" ht="20.25" x14ac:dyDescent="0.25">
      <c r="C19" s="16" t="s">
        <v>115</v>
      </c>
      <c r="D19" s="43">
        <v>2</v>
      </c>
      <c r="E19" s="75">
        <v>2240</v>
      </c>
      <c r="F19" s="79">
        <f t="shared" si="4"/>
        <v>320</v>
      </c>
      <c r="G19" s="75">
        <f t="shared" si="5"/>
        <v>3360</v>
      </c>
      <c r="H19" s="42"/>
      <c r="I19" s="60">
        <f>G19*0.37*0.29</f>
        <v>360.52799999999996</v>
      </c>
      <c r="J19" s="118" t="s">
        <v>61</v>
      </c>
      <c r="K19" s="47" t="s">
        <v>61</v>
      </c>
      <c r="L19" s="60">
        <f t="shared" si="6"/>
        <v>680.52800000000002</v>
      </c>
      <c r="M19">
        <v>680.52800000000002</v>
      </c>
    </row>
    <row r="20" spans="3:16" ht="21" x14ac:dyDescent="0.3">
      <c r="C20" s="39" t="s">
        <v>112</v>
      </c>
      <c r="D20" s="43">
        <v>3</v>
      </c>
      <c r="E20" s="75">
        <v>2240</v>
      </c>
      <c r="F20" s="79">
        <f t="shared" si="4"/>
        <v>320</v>
      </c>
      <c r="G20" s="75">
        <f t="shared" si="5"/>
        <v>3360</v>
      </c>
      <c r="H20" s="42"/>
      <c r="I20" s="60">
        <f>G20*0.37*0.2</f>
        <v>248.64000000000001</v>
      </c>
      <c r="J20" s="118" t="s">
        <v>70</v>
      </c>
      <c r="K20" s="47" t="s">
        <v>72</v>
      </c>
      <c r="L20" s="60">
        <f t="shared" si="6"/>
        <v>568.64</v>
      </c>
      <c r="M20">
        <f>L20/2</f>
        <v>284.32</v>
      </c>
    </row>
    <row r="21" spans="3:16" ht="20.25" x14ac:dyDescent="0.25">
      <c r="C21" s="16" t="s">
        <v>114</v>
      </c>
      <c r="D21" s="43">
        <v>4</v>
      </c>
      <c r="E21" s="75">
        <v>2240</v>
      </c>
      <c r="F21" s="79">
        <f t="shared" si="4"/>
        <v>320</v>
      </c>
      <c r="G21" s="75">
        <f t="shared" si="5"/>
        <v>3360</v>
      </c>
      <c r="H21" s="43"/>
      <c r="I21" s="60">
        <f>G21*0.37*0.15</f>
        <v>186.48</v>
      </c>
      <c r="J21" s="118" t="s">
        <v>61</v>
      </c>
      <c r="K21" s="47" t="s">
        <v>61</v>
      </c>
      <c r="L21" s="60">
        <f t="shared" si="6"/>
        <v>506.48</v>
      </c>
      <c r="M21">
        <v>506.48</v>
      </c>
    </row>
    <row r="22" spans="3:16" x14ac:dyDescent="0.15">
      <c r="C22" s="76" t="s">
        <v>40</v>
      </c>
      <c r="D22" s="80"/>
      <c r="E22" s="76"/>
      <c r="F22" s="76"/>
      <c r="G22" s="76"/>
      <c r="H22" s="76">
        <f>SUM(H15:H21)</f>
        <v>2116.8000000000002</v>
      </c>
      <c r="I22" s="76">
        <f>SUM(I18:I21)</f>
        <v>1243.2</v>
      </c>
      <c r="J22" s="94">
        <f>SUM(H22:I22)</f>
        <v>3360</v>
      </c>
      <c r="K22" s="76"/>
      <c r="L22" s="90">
        <f>SUM(L15:L21)</f>
        <v>5600</v>
      </c>
    </row>
    <row r="23" spans="3:16" x14ac:dyDescent="0.15">
      <c r="E23" s="107"/>
      <c r="H23" s="26"/>
    </row>
  </sheetData>
  <phoneticPr fontId="4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25"/>
  <sheetViews>
    <sheetView topLeftCell="E1" workbookViewId="0">
      <selection activeCell="J33" sqref="J33"/>
    </sheetView>
  </sheetViews>
  <sheetFormatPr defaultColWidth="9" defaultRowHeight="13.5" x14ac:dyDescent="0.15"/>
  <cols>
    <col min="9" max="10" width="14.75" customWidth="1"/>
    <col min="11" max="11" width="15" customWidth="1"/>
    <col min="12" max="12" width="17.75" customWidth="1"/>
    <col min="13" max="13" width="20.5" customWidth="1"/>
    <col min="19" max="19" width="12.625"/>
    <col min="21" max="21" width="12.625"/>
    <col min="24" max="24" width="12.625"/>
  </cols>
  <sheetData>
    <row r="2" spans="1:24" ht="20.25" x14ac:dyDescent="0.25">
      <c r="A2" s="35" t="s">
        <v>94</v>
      </c>
      <c r="B2" s="36" t="s">
        <v>123</v>
      </c>
      <c r="C2" s="37" t="s">
        <v>48</v>
      </c>
      <c r="D2" s="37" t="s">
        <v>124</v>
      </c>
      <c r="E2" s="95" t="s">
        <v>95</v>
      </c>
      <c r="F2" s="96"/>
      <c r="G2" s="97" t="s">
        <v>94</v>
      </c>
      <c r="H2" s="81" t="s">
        <v>95</v>
      </c>
      <c r="I2" s="108" t="s">
        <v>96</v>
      </c>
      <c r="J2" s="109" t="s">
        <v>97</v>
      </c>
      <c r="K2" s="78" t="s">
        <v>98</v>
      </c>
      <c r="L2" s="108" t="s">
        <v>99</v>
      </c>
      <c r="M2" s="78" t="s">
        <v>100</v>
      </c>
      <c r="N2" s="78" t="s">
        <v>101</v>
      </c>
      <c r="O2" s="108" t="s">
        <v>102</v>
      </c>
      <c r="P2" s="78" t="s">
        <v>103</v>
      </c>
      <c r="Q2" s="82" t="s">
        <v>104</v>
      </c>
      <c r="R2" s="82" t="s">
        <v>105</v>
      </c>
      <c r="S2" s="116" t="s">
        <v>106</v>
      </c>
      <c r="T2" s="116" t="s">
        <v>107</v>
      </c>
      <c r="U2" s="78"/>
      <c r="V2" s="96"/>
      <c r="W2" s="145" t="s">
        <v>108</v>
      </c>
      <c r="X2" s="146"/>
    </row>
    <row r="3" spans="1:24" ht="21" x14ac:dyDescent="0.3">
      <c r="A3" s="39" t="s">
        <v>111</v>
      </c>
      <c r="B3" s="47" t="s">
        <v>49</v>
      </c>
      <c r="C3" s="41">
        <v>102.37</v>
      </c>
      <c r="D3" s="42">
        <v>609.19755813953498</v>
      </c>
      <c r="E3" s="98">
        <v>1</v>
      </c>
      <c r="F3" s="99"/>
      <c r="G3" s="100" t="s">
        <v>111</v>
      </c>
      <c r="H3" s="98">
        <v>1</v>
      </c>
      <c r="I3" s="79">
        <v>1371.42857142857</v>
      </c>
      <c r="J3" s="75">
        <v>14400</v>
      </c>
      <c r="K3" s="75">
        <f t="shared" ref="K3:K9" si="0">J3*0.7</f>
        <v>10080</v>
      </c>
      <c r="L3" s="42">
        <v>609.19755813953498</v>
      </c>
      <c r="M3" s="41">
        <v>102.37</v>
      </c>
      <c r="N3" s="75">
        <f t="shared" ref="N3:N9" si="1">J3*0.3</f>
        <v>4320</v>
      </c>
      <c r="O3" s="75">
        <v>7</v>
      </c>
      <c r="P3" s="79">
        <v>1.1762610594048</v>
      </c>
      <c r="Q3" s="83">
        <f t="shared" ref="Q3:Q9" si="2">K3/L3*M3+(N3/O3*P3)</f>
        <v>2419.7716299006979</v>
      </c>
      <c r="R3" s="64">
        <f t="shared" ref="R3:R9" si="3">I3+Q3</f>
        <v>3791.2002013292677</v>
      </c>
      <c r="S3" s="47" t="s">
        <v>49</v>
      </c>
      <c r="T3" s="47" t="s">
        <v>49</v>
      </c>
      <c r="U3" s="117">
        <v>3791.2002013292699</v>
      </c>
      <c r="V3" s="113"/>
      <c r="W3" s="47" t="s">
        <v>49</v>
      </c>
      <c r="X3" s="65">
        <f>U3+U6</f>
        <v>7081.2852463247</v>
      </c>
    </row>
    <row r="4" spans="1:24" ht="20.25" x14ac:dyDescent="0.25">
      <c r="A4" s="16" t="s">
        <v>110</v>
      </c>
      <c r="B4" s="47" t="s">
        <v>66</v>
      </c>
      <c r="C4" s="41">
        <v>101.53</v>
      </c>
      <c r="D4" s="42">
        <v>609.19755813953498</v>
      </c>
      <c r="E4" s="98">
        <v>2</v>
      </c>
      <c r="F4" s="101"/>
      <c r="G4" s="102" t="s">
        <v>110</v>
      </c>
      <c r="H4" s="98">
        <v>2</v>
      </c>
      <c r="I4" s="79">
        <v>1371.42857142857</v>
      </c>
      <c r="J4" s="75">
        <v>14400</v>
      </c>
      <c r="K4" s="75">
        <f t="shared" si="0"/>
        <v>10080</v>
      </c>
      <c r="L4" s="42">
        <v>609.19755813953498</v>
      </c>
      <c r="M4" s="41">
        <v>101.53</v>
      </c>
      <c r="N4" s="75">
        <f t="shared" si="1"/>
        <v>4320</v>
      </c>
      <c r="O4" s="75">
        <v>7</v>
      </c>
      <c r="P4" s="79">
        <v>1.16660921521314</v>
      </c>
      <c r="Q4" s="83">
        <f t="shared" si="2"/>
        <v>2399.9161237063372</v>
      </c>
      <c r="R4" s="64">
        <f t="shared" si="3"/>
        <v>3771.3446951349069</v>
      </c>
      <c r="S4" s="47" t="s">
        <v>66</v>
      </c>
      <c r="T4" s="47" t="s">
        <v>66</v>
      </c>
      <c r="U4" s="117">
        <v>3771.3446951349101</v>
      </c>
      <c r="V4" s="113"/>
      <c r="W4" s="47" t="s">
        <v>66</v>
      </c>
      <c r="X4" s="65">
        <f>3770.5+1571</f>
        <v>5341.5</v>
      </c>
    </row>
    <row r="5" spans="1:24" ht="21" x14ac:dyDescent="0.3">
      <c r="A5" s="39" t="s">
        <v>109</v>
      </c>
      <c r="B5" s="47" t="s">
        <v>58</v>
      </c>
      <c r="C5" s="41">
        <v>98.65</v>
      </c>
      <c r="D5" s="42">
        <v>609.19755813953498</v>
      </c>
      <c r="E5" s="98">
        <v>3</v>
      </c>
      <c r="F5" s="99"/>
      <c r="G5" s="100" t="s">
        <v>109</v>
      </c>
      <c r="H5" s="98">
        <v>3</v>
      </c>
      <c r="I5" s="79">
        <v>1371.42857142857</v>
      </c>
      <c r="J5" s="75">
        <v>14400</v>
      </c>
      <c r="K5" s="75">
        <f t="shared" si="0"/>
        <v>10080</v>
      </c>
      <c r="L5" s="42">
        <v>609.19755813953498</v>
      </c>
      <c r="M5" s="41">
        <v>98.65</v>
      </c>
      <c r="N5" s="75">
        <f t="shared" si="1"/>
        <v>4320</v>
      </c>
      <c r="O5" s="75">
        <v>7</v>
      </c>
      <c r="P5" s="79">
        <v>1.1335171779846001</v>
      </c>
      <c r="Q5" s="83">
        <f t="shared" si="2"/>
        <v>2331.8401024685345</v>
      </c>
      <c r="R5" s="64">
        <f t="shared" si="3"/>
        <v>3703.2686738971042</v>
      </c>
      <c r="S5" s="118" t="s">
        <v>58</v>
      </c>
      <c r="T5" s="47" t="s">
        <v>58</v>
      </c>
      <c r="U5" s="117">
        <v>3703.2686738971001</v>
      </c>
      <c r="V5" s="113"/>
      <c r="W5" s="47" t="s">
        <v>58</v>
      </c>
      <c r="X5" s="65">
        <f>U5+U7</f>
        <v>6880.0118710330607</v>
      </c>
    </row>
    <row r="6" spans="1:24" ht="21" x14ac:dyDescent="0.3">
      <c r="A6" s="39" t="s">
        <v>112</v>
      </c>
      <c r="B6" s="47" t="s">
        <v>49</v>
      </c>
      <c r="C6" s="41">
        <v>81.17</v>
      </c>
      <c r="D6" s="42">
        <v>609.19755813953498</v>
      </c>
      <c r="E6" s="98">
        <v>4</v>
      </c>
      <c r="F6" s="99"/>
      <c r="G6" s="100" t="s">
        <v>112</v>
      </c>
      <c r="H6" s="98">
        <v>4</v>
      </c>
      <c r="I6" s="79">
        <v>1371.42857142857</v>
      </c>
      <c r="J6" s="75">
        <v>14400</v>
      </c>
      <c r="K6" s="75">
        <f t="shared" si="0"/>
        <v>10080</v>
      </c>
      <c r="L6" s="42">
        <v>609.19755813953498</v>
      </c>
      <c r="M6" s="41">
        <v>81.17</v>
      </c>
      <c r="N6" s="75">
        <f t="shared" si="1"/>
        <v>4320</v>
      </c>
      <c r="O6" s="75">
        <v>7</v>
      </c>
      <c r="P6" s="79">
        <v>0.93266689647248102</v>
      </c>
      <c r="Q6" s="83">
        <f t="shared" si="2"/>
        <v>1918.6564735668635</v>
      </c>
      <c r="R6" s="64">
        <f t="shared" si="3"/>
        <v>3290.0850449954332</v>
      </c>
      <c r="S6" s="118" t="s">
        <v>49</v>
      </c>
      <c r="T6" s="47" t="s">
        <v>49</v>
      </c>
      <c r="U6" s="117">
        <v>3290.0850449954301</v>
      </c>
      <c r="V6" s="113"/>
      <c r="W6" s="118" t="s">
        <v>83</v>
      </c>
      <c r="X6" s="65">
        <v>1571</v>
      </c>
    </row>
    <row r="7" spans="1:24" ht="21" x14ac:dyDescent="0.3">
      <c r="A7" s="39" t="s">
        <v>113</v>
      </c>
      <c r="B7" s="47" t="s">
        <v>58</v>
      </c>
      <c r="C7" s="44">
        <v>76.375</v>
      </c>
      <c r="D7" s="42">
        <v>609.19755813953498</v>
      </c>
      <c r="E7" s="98">
        <v>5</v>
      </c>
      <c r="F7" s="99"/>
      <c r="G7" s="100" t="s">
        <v>113</v>
      </c>
      <c r="H7" s="98">
        <v>5</v>
      </c>
      <c r="I7" s="79">
        <v>1371.42857142857</v>
      </c>
      <c r="J7" s="75">
        <v>14400</v>
      </c>
      <c r="K7" s="75">
        <f t="shared" si="0"/>
        <v>10080</v>
      </c>
      <c r="L7" s="42">
        <v>609.19755813953498</v>
      </c>
      <c r="M7" s="44">
        <v>76.375</v>
      </c>
      <c r="N7" s="75">
        <f t="shared" si="1"/>
        <v>4320</v>
      </c>
      <c r="O7" s="75">
        <v>7</v>
      </c>
      <c r="P7" s="79">
        <v>0.87757095254509898</v>
      </c>
      <c r="Q7" s="83">
        <f t="shared" si="2"/>
        <v>1805.314625707394</v>
      </c>
      <c r="R7" s="64">
        <f t="shared" si="3"/>
        <v>3176.7431971359638</v>
      </c>
      <c r="S7" s="47" t="s">
        <v>58</v>
      </c>
      <c r="T7" s="47" t="s">
        <v>58</v>
      </c>
      <c r="U7" s="117">
        <v>3176.7431971359601</v>
      </c>
      <c r="V7" s="113"/>
      <c r="W7" s="47" t="s">
        <v>62</v>
      </c>
      <c r="X7" s="65">
        <v>3126</v>
      </c>
    </row>
    <row r="8" spans="1:24" ht="20.25" x14ac:dyDescent="0.25">
      <c r="A8" s="16" t="s">
        <v>115</v>
      </c>
      <c r="B8" s="47" t="s">
        <v>66</v>
      </c>
      <c r="C8" s="41">
        <v>74.87</v>
      </c>
      <c r="D8" s="42">
        <v>609.19755813953498</v>
      </c>
      <c r="E8" s="98">
        <v>6</v>
      </c>
      <c r="F8" s="101"/>
      <c r="G8" s="102" t="s">
        <v>115</v>
      </c>
      <c r="H8" s="98">
        <v>6</v>
      </c>
      <c r="I8" s="79">
        <v>1371.42857142857</v>
      </c>
      <c r="J8" s="75">
        <v>14400</v>
      </c>
      <c r="K8" s="75">
        <f t="shared" si="0"/>
        <v>10080</v>
      </c>
      <c r="L8" s="42">
        <v>609.19755813953498</v>
      </c>
      <c r="M8" s="41">
        <v>74.87</v>
      </c>
      <c r="N8" s="75">
        <f t="shared" si="1"/>
        <v>4320</v>
      </c>
      <c r="O8" s="75">
        <v>7</v>
      </c>
      <c r="P8" s="79">
        <v>0.860278065035045</v>
      </c>
      <c r="Q8" s="83">
        <f t="shared" si="2"/>
        <v>1769.7401771091666</v>
      </c>
      <c r="R8" s="64">
        <f t="shared" si="3"/>
        <v>3141.1687485377365</v>
      </c>
      <c r="S8" s="118" t="s">
        <v>83</v>
      </c>
      <c r="T8" s="47" t="s">
        <v>66</v>
      </c>
      <c r="U8" s="60">
        <f>R8/2</f>
        <v>1570.5843742688683</v>
      </c>
      <c r="V8" s="26"/>
      <c r="X8" s="93">
        <f>SUM(X3:X7)</f>
        <v>23999.797117357761</v>
      </c>
    </row>
    <row r="9" spans="1:24" ht="20.25" x14ac:dyDescent="0.25">
      <c r="A9" s="16" t="s">
        <v>114</v>
      </c>
      <c r="B9" s="47" t="s">
        <v>62</v>
      </c>
      <c r="C9" s="44">
        <v>74.232558139534902</v>
      </c>
      <c r="D9" s="42">
        <v>609.19755813953498</v>
      </c>
      <c r="E9" s="98">
        <v>7</v>
      </c>
      <c r="F9" s="101"/>
      <c r="G9" s="102" t="s">
        <v>114</v>
      </c>
      <c r="H9" s="98">
        <v>7</v>
      </c>
      <c r="I9" s="79">
        <v>1371.42857142857</v>
      </c>
      <c r="J9" s="75">
        <v>14400</v>
      </c>
      <c r="K9" s="75">
        <f t="shared" si="0"/>
        <v>10080</v>
      </c>
      <c r="L9" s="42">
        <v>609.19755813953498</v>
      </c>
      <c r="M9" s="44">
        <v>74.232558139534902</v>
      </c>
      <c r="N9" s="75">
        <f t="shared" si="1"/>
        <v>4320</v>
      </c>
      <c r="O9" s="75">
        <v>7</v>
      </c>
      <c r="P9" s="79">
        <v>0.85295367275117695</v>
      </c>
      <c r="Q9" s="83">
        <f t="shared" si="2"/>
        <v>1754.6726404317756</v>
      </c>
      <c r="R9" s="64">
        <f t="shared" si="3"/>
        <v>3126.1012118603458</v>
      </c>
      <c r="S9" s="118" t="s">
        <v>62</v>
      </c>
      <c r="T9" s="47" t="s">
        <v>62</v>
      </c>
      <c r="U9" s="64">
        <v>3126.1012118603498</v>
      </c>
    </row>
    <row r="10" spans="1:24" x14ac:dyDescent="0.15">
      <c r="G10" s="103" t="s">
        <v>40</v>
      </c>
      <c r="H10" s="76"/>
      <c r="I10" s="80">
        <f>SUM(I3:I9)</f>
        <v>9599.9999999999909</v>
      </c>
      <c r="J10" s="76"/>
      <c r="K10" s="76"/>
      <c r="L10" s="76"/>
      <c r="M10" s="76"/>
      <c r="N10" s="76"/>
      <c r="O10" s="76"/>
      <c r="P10" s="76"/>
      <c r="Q10" s="84">
        <f>SUM(Q3:Q9)</f>
        <v>14399.911772890769</v>
      </c>
      <c r="R10" s="84">
        <f>SUM(R3:R9)</f>
        <v>23999.911772890762</v>
      </c>
    </row>
    <row r="15" spans="1:24" ht="20.25" x14ac:dyDescent="0.25">
      <c r="G15" s="78" t="s">
        <v>94</v>
      </c>
      <c r="H15" s="81" t="s">
        <v>95</v>
      </c>
      <c r="I15" s="75" t="s">
        <v>116</v>
      </c>
      <c r="J15" s="78" t="s">
        <v>117</v>
      </c>
      <c r="K15" s="78" t="s">
        <v>118</v>
      </c>
      <c r="L15" s="78" t="s">
        <v>119</v>
      </c>
      <c r="M15" s="78" t="s">
        <v>120</v>
      </c>
      <c r="N15" s="76" t="s">
        <v>106</v>
      </c>
      <c r="O15" s="76" t="s">
        <v>107</v>
      </c>
      <c r="P15" s="75" t="s">
        <v>40</v>
      </c>
      <c r="Q15" s="116" t="s">
        <v>106</v>
      </c>
      <c r="R15" s="116" t="s">
        <v>107</v>
      </c>
      <c r="S15" t="s">
        <v>40</v>
      </c>
    </row>
    <row r="16" spans="1:24" ht="21" x14ac:dyDescent="0.3">
      <c r="G16" s="39" t="s">
        <v>111</v>
      </c>
      <c r="H16" s="43">
        <v>1</v>
      </c>
      <c r="I16" s="75">
        <v>3200</v>
      </c>
      <c r="J16" s="79">
        <f t="shared" ref="J16:J22" si="4">I16/7</f>
        <v>457.14285714285717</v>
      </c>
      <c r="K16" s="75">
        <f t="shared" ref="K16:K22" si="5">8000*0.6</f>
        <v>4800</v>
      </c>
      <c r="L16" s="85">
        <f>K16*63%*43%</f>
        <v>1300.32</v>
      </c>
      <c r="M16" s="75"/>
      <c r="N16" s="40"/>
      <c r="O16" s="40"/>
      <c r="P16" s="60">
        <f t="shared" ref="P16:P22" si="6">J16+L16+M16</f>
        <v>1757.462857142857</v>
      </c>
      <c r="Q16" s="47" t="s">
        <v>49</v>
      </c>
      <c r="R16" s="47" t="s">
        <v>49</v>
      </c>
      <c r="S16" s="119">
        <v>1757.46285714286</v>
      </c>
      <c r="T16" s="120" t="s">
        <v>49</v>
      </c>
      <c r="U16" s="65">
        <f>S16+S19</f>
        <v>2853.96571428572</v>
      </c>
    </row>
    <row r="17" spans="7:21" ht="20.25" x14ac:dyDescent="0.25">
      <c r="G17" s="16" t="s">
        <v>110</v>
      </c>
      <c r="H17" s="43">
        <v>2</v>
      </c>
      <c r="I17" s="75">
        <v>3200</v>
      </c>
      <c r="J17" s="79">
        <f t="shared" si="4"/>
        <v>457.14285714285717</v>
      </c>
      <c r="K17" s="75">
        <f t="shared" si="5"/>
        <v>4800</v>
      </c>
      <c r="L17" s="85">
        <f>K17*0.63*0.33</f>
        <v>997.92000000000007</v>
      </c>
      <c r="M17" s="75"/>
      <c r="N17" s="40"/>
      <c r="O17" s="40"/>
      <c r="P17" s="60">
        <f t="shared" si="6"/>
        <v>1455.0628571428572</v>
      </c>
      <c r="Q17" s="47" t="s">
        <v>66</v>
      </c>
      <c r="R17" s="47" t="s">
        <v>66</v>
      </c>
      <c r="S17" s="119">
        <v>1455.0628571428599</v>
      </c>
      <c r="T17" s="120" t="s">
        <v>66</v>
      </c>
      <c r="U17" s="65">
        <f>S17+406</f>
        <v>1861.0628571428599</v>
      </c>
    </row>
    <row r="18" spans="7:21" ht="21" x14ac:dyDescent="0.3">
      <c r="G18" s="39" t="s">
        <v>109</v>
      </c>
      <c r="H18" s="43">
        <v>3</v>
      </c>
      <c r="I18" s="80">
        <v>3200</v>
      </c>
      <c r="J18" s="79">
        <f t="shared" si="4"/>
        <v>457.14285714285717</v>
      </c>
      <c r="K18" s="75">
        <f t="shared" si="5"/>
        <v>4800</v>
      </c>
      <c r="L18" s="85">
        <f>K18*0.63*0.24</f>
        <v>725.76</v>
      </c>
      <c r="M18" s="75"/>
      <c r="N18" s="40"/>
      <c r="O18" s="40"/>
      <c r="P18" s="60">
        <f t="shared" si="6"/>
        <v>1182.9028571428571</v>
      </c>
      <c r="Q18" s="118" t="s">
        <v>58</v>
      </c>
      <c r="R18" s="47" t="s">
        <v>58</v>
      </c>
      <c r="S18" s="119">
        <v>1182.9028571428601</v>
      </c>
      <c r="T18" s="120" t="s">
        <v>58</v>
      </c>
      <c r="U18" s="65">
        <f>S18+S20</f>
        <v>2155.0857142857171</v>
      </c>
    </row>
    <row r="19" spans="7:21" ht="21" x14ac:dyDescent="0.3">
      <c r="G19" s="39" t="s">
        <v>112</v>
      </c>
      <c r="H19" s="43">
        <v>1</v>
      </c>
      <c r="I19" s="75">
        <v>3200</v>
      </c>
      <c r="J19" s="79">
        <f t="shared" si="4"/>
        <v>457.14285714285717</v>
      </c>
      <c r="K19" s="75">
        <f t="shared" si="5"/>
        <v>4800</v>
      </c>
      <c r="L19" s="43"/>
      <c r="M19" s="60">
        <f>K19*0.37*0.36</f>
        <v>639.36</v>
      </c>
      <c r="N19" s="40"/>
      <c r="O19" s="40"/>
      <c r="P19" s="60">
        <f t="shared" si="6"/>
        <v>1096.5028571428572</v>
      </c>
      <c r="Q19" s="118" t="s">
        <v>49</v>
      </c>
      <c r="R19" s="47" t="s">
        <v>49</v>
      </c>
      <c r="S19" s="119">
        <v>1096.50285714286</v>
      </c>
      <c r="T19" s="121" t="s">
        <v>83</v>
      </c>
      <c r="U19" s="65">
        <v>406.17142857142898</v>
      </c>
    </row>
    <row r="20" spans="7:21" ht="21" x14ac:dyDescent="0.3">
      <c r="G20" s="39" t="s">
        <v>113</v>
      </c>
      <c r="H20" s="43">
        <v>2</v>
      </c>
      <c r="I20" s="75">
        <v>3200</v>
      </c>
      <c r="J20" s="79">
        <f t="shared" si="4"/>
        <v>457.14285714285717</v>
      </c>
      <c r="K20" s="75">
        <f t="shared" si="5"/>
        <v>4800</v>
      </c>
      <c r="L20" s="42"/>
      <c r="M20" s="60">
        <f>K20*0.37*0.29</f>
        <v>515.04</v>
      </c>
      <c r="N20" s="40"/>
      <c r="O20" s="40"/>
      <c r="P20" s="60">
        <f t="shared" si="6"/>
        <v>972.18285714285707</v>
      </c>
      <c r="Q20" s="47" t="s">
        <v>58</v>
      </c>
      <c r="R20" s="47" t="s">
        <v>58</v>
      </c>
      <c r="S20" s="119">
        <v>972.18285714285696</v>
      </c>
      <c r="T20" s="120" t="s">
        <v>62</v>
      </c>
      <c r="U20" s="65">
        <v>723.54285714285697</v>
      </c>
    </row>
    <row r="21" spans="7:21" ht="20.25" x14ac:dyDescent="0.25">
      <c r="G21" s="16" t="s">
        <v>115</v>
      </c>
      <c r="H21" s="43">
        <v>3</v>
      </c>
      <c r="I21" s="75">
        <v>3200</v>
      </c>
      <c r="J21" s="79">
        <f t="shared" si="4"/>
        <v>457.14285714285717</v>
      </c>
      <c r="K21" s="75">
        <f t="shared" si="5"/>
        <v>4800</v>
      </c>
      <c r="L21" s="42"/>
      <c r="M21" s="60">
        <f>K21*0.37*0.2</f>
        <v>355.20000000000005</v>
      </c>
      <c r="N21" s="40"/>
      <c r="O21" s="40"/>
      <c r="P21" s="60">
        <f t="shared" si="6"/>
        <v>812.34285714285716</v>
      </c>
      <c r="Q21" s="118" t="s">
        <v>83</v>
      </c>
      <c r="R21" s="47" t="s">
        <v>66</v>
      </c>
      <c r="S21" s="119">
        <f>P21/2</f>
        <v>406.17142857142858</v>
      </c>
      <c r="T21" s="90"/>
      <c r="U21" s="65">
        <f>SUM(U16:U20)</f>
        <v>7999.828571428583</v>
      </c>
    </row>
    <row r="22" spans="7:21" ht="20.25" x14ac:dyDescent="0.25">
      <c r="G22" s="104" t="s">
        <v>114</v>
      </c>
      <c r="H22" s="43">
        <v>4</v>
      </c>
      <c r="I22" s="80">
        <v>3200</v>
      </c>
      <c r="J22" s="79">
        <f t="shared" si="4"/>
        <v>457.14285714285717</v>
      </c>
      <c r="K22" s="75">
        <f t="shared" si="5"/>
        <v>4800</v>
      </c>
      <c r="L22" s="43"/>
      <c r="M22" s="60">
        <f>K22*0.37*0.15</f>
        <v>266.39999999999998</v>
      </c>
      <c r="N22" s="40"/>
      <c r="O22" s="40"/>
      <c r="P22" s="60">
        <f t="shared" si="6"/>
        <v>723.5428571428572</v>
      </c>
      <c r="Q22" s="118" t="s">
        <v>62</v>
      </c>
      <c r="R22" s="47" t="s">
        <v>62</v>
      </c>
      <c r="S22" s="119">
        <v>723.54285714285697</v>
      </c>
    </row>
    <row r="23" spans="7:21" x14ac:dyDescent="0.15">
      <c r="G23" s="76" t="s">
        <v>40</v>
      </c>
      <c r="H23" s="80"/>
      <c r="I23" s="76"/>
      <c r="J23" s="76"/>
      <c r="K23" s="76"/>
      <c r="L23" s="76">
        <f>SUM(L16:L22)</f>
        <v>3024</v>
      </c>
      <c r="M23" s="76">
        <f>SUM(M19:M22)</f>
        <v>1776</v>
      </c>
      <c r="N23" s="94">
        <f>SUM(L23:M23)</f>
        <v>4800</v>
      </c>
      <c r="O23" s="76"/>
      <c r="P23" s="90">
        <f>SUM(P16:P22)</f>
        <v>8000.0000000000009</v>
      </c>
      <c r="R23" s="115"/>
      <c r="S23" s="115"/>
    </row>
    <row r="24" spans="7:21" ht="20.25" x14ac:dyDescent="0.25">
      <c r="G24" s="105"/>
      <c r="H24" s="106"/>
      <c r="I24" s="107"/>
      <c r="J24" s="110"/>
      <c r="K24" s="26"/>
      <c r="L24" s="111"/>
      <c r="M24" s="112"/>
      <c r="N24" s="113"/>
      <c r="O24" s="113"/>
      <c r="P24" s="112"/>
    </row>
    <row r="25" spans="7:21" x14ac:dyDescent="0.15">
      <c r="H25" s="107"/>
      <c r="N25" s="114"/>
      <c r="P25" s="115"/>
    </row>
  </sheetData>
  <mergeCells count="1">
    <mergeCell ref="W2:X2"/>
  </mergeCells>
  <phoneticPr fontId="4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E2:U25"/>
  <sheetViews>
    <sheetView topLeftCell="D1" workbookViewId="0">
      <selection activeCell="S24" sqref="S24"/>
    </sheetView>
  </sheetViews>
  <sheetFormatPr defaultColWidth="9" defaultRowHeight="13.5" x14ac:dyDescent="0.15"/>
  <cols>
    <col min="7" max="7" width="15.375" customWidth="1"/>
    <col min="8" max="8" width="13.625" customWidth="1"/>
    <col min="9" max="9" width="16.625" customWidth="1"/>
    <col min="10" max="10" width="21.25" customWidth="1"/>
    <col min="11" max="11" width="20.875" customWidth="1"/>
    <col min="15" max="15" width="12.625"/>
    <col min="17" max="17" width="12.625"/>
    <col min="19" max="19" width="12.625"/>
    <col min="21" max="21" width="12.625"/>
  </cols>
  <sheetData>
    <row r="2" spans="5:21" ht="20.25" x14ac:dyDescent="0.25">
      <c r="E2" s="78" t="s">
        <v>94</v>
      </c>
      <c r="F2" s="38" t="s">
        <v>95</v>
      </c>
      <c r="G2" s="78" t="s">
        <v>96</v>
      </c>
      <c r="H2" s="78" t="s">
        <v>121</v>
      </c>
      <c r="I2" s="78" t="s">
        <v>98</v>
      </c>
      <c r="J2" s="78" t="s">
        <v>99</v>
      </c>
      <c r="K2" s="78" t="s">
        <v>100</v>
      </c>
      <c r="L2" s="78" t="s">
        <v>101</v>
      </c>
      <c r="M2" s="78" t="s">
        <v>102</v>
      </c>
      <c r="N2" s="78" t="s">
        <v>103</v>
      </c>
      <c r="O2" s="82" t="s">
        <v>104</v>
      </c>
      <c r="P2" s="82" t="s">
        <v>105</v>
      </c>
      <c r="Q2" s="76" t="s">
        <v>106</v>
      </c>
      <c r="R2" s="76" t="s">
        <v>107</v>
      </c>
    </row>
    <row r="3" spans="5:21" ht="22.5" x14ac:dyDescent="0.25">
      <c r="E3" s="48" t="s">
        <v>110</v>
      </c>
      <c r="F3" s="43">
        <v>1</v>
      </c>
      <c r="G3" s="79">
        <v>914.28571428571399</v>
      </c>
      <c r="H3" s="75">
        <v>9600</v>
      </c>
      <c r="I3" s="75">
        <f t="shared" ref="I3:I9" si="0">H3*0.7</f>
        <v>6720</v>
      </c>
      <c r="J3" s="42">
        <v>560.98442829457395</v>
      </c>
      <c r="K3" s="43">
        <v>102.92</v>
      </c>
      <c r="L3" s="75">
        <f t="shared" ref="L3:L9" si="1">H3*0.3</f>
        <v>2880</v>
      </c>
      <c r="M3" s="75">
        <v>7</v>
      </c>
      <c r="N3" s="79">
        <v>1.2842525580234601</v>
      </c>
      <c r="O3" s="83">
        <f t="shared" ref="O3:O9" si="2">I3/J3*K3+(L3/M3*N3)</f>
        <v>1761.2509188855361</v>
      </c>
      <c r="P3" s="64">
        <f t="shared" ref="P3:P9" si="3">G3+O3</f>
        <v>2675.5366331712503</v>
      </c>
      <c r="Q3" s="50" t="s">
        <v>59</v>
      </c>
      <c r="R3" s="50" t="s">
        <v>59</v>
      </c>
      <c r="T3" s="91" t="s">
        <v>59</v>
      </c>
      <c r="U3" s="65">
        <f>P3+P4</f>
        <v>5281.424109328661</v>
      </c>
    </row>
    <row r="4" spans="5:21" ht="24" x14ac:dyDescent="0.35">
      <c r="E4" s="49" t="s">
        <v>125</v>
      </c>
      <c r="F4" s="43">
        <v>2</v>
      </c>
      <c r="G4" s="79">
        <v>914.28571428571399</v>
      </c>
      <c r="H4" s="75">
        <v>9600</v>
      </c>
      <c r="I4" s="75">
        <f t="shared" si="0"/>
        <v>6720</v>
      </c>
      <c r="J4" s="42">
        <v>560.98442829457395</v>
      </c>
      <c r="K4" s="43">
        <v>98.85</v>
      </c>
      <c r="L4" s="75">
        <f t="shared" si="1"/>
        <v>2880</v>
      </c>
      <c r="M4" s="75">
        <v>7</v>
      </c>
      <c r="N4" s="79">
        <v>1.23346643374095</v>
      </c>
      <c r="O4" s="83">
        <f t="shared" si="2"/>
        <v>1691.6017618716969</v>
      </c>
      <c r="P4" s="64">
        <f t="shared" si="3"/>
        <v>2605.8874761574107</v>
      </c>
      <c r="Q4" s="50" t="s">
        <v>59</v>
      </c>
      <c r="R4" s="50" t="s">
        <v>59</v>
      </c>
      <c r="T4" s="91" t="s">
        <v>55</v>
      </c>
      <c r="U4" s="65">
        <v>2573.8865121240301</v>
      </c>
    </row>
    <row r="5" spans="5:21" ht="24" x14ac:dyDescent="0.35">
      <c r="E5" s="49" t="s">
        <v>126</v>
      </c>
      <c r="F5" s="43">
        <v>3</v>
      </c>
      <c r="G5" s="79">
        <v>914.28571428571399</v>
      </c>
      <c r="H5" s="75">
        <v>9600</v>
      </c>
      <c r="I5" s="75">
        <f t="shared" si="0"/>
        <v>6720</v>
      </c>
      <c r="J5" s="42">
        <v>560.98442829457395</v>
      </c>
      <c r="K5" s="43">
        <v>96.98</v>
      </c>
      <c r="L5" s="75">
        <f t="shared" si="1"/>
        <v>2880</v>
      </c>
      <c r="M5" s="75">
        <v>7</v>
      </c>
      <c r="N5" s="79">
        <v>1.2101322685300699</v>
      </c>
      <c r="O5" s="83">
        <f t="shared" si="2"/>
        <v>1659.6007978383129</v>
      </c>
      <c r="P5" s="64">
        <f t="shared" si="3"/>
        <v>2573.8865121240269</v>
      </c>
      <c r="Q5" s="50" t="s">
        <v>55</v>
      </c>
      <c r="R5" s="50" t="s">
        <v>55</v>
      </c>
      <c r="T5" s="91" t="s">
        <v>51</v>
      </c>
      <c r="U5" s="65">
        <v>2196.8555461718702</v>
      </c>
    </row>
    <row r="6" spans="5:21" ht="24" x14ac:dyDescent="0.35">
      <c r="E6" s="49" t="s">
        <v>127</v>
      </c>
      <c r="F6" s="43">
        <v>4</v>
      </c>
      <c r="G6" s="79">
        <v>914.28571428571399</v>
      </c>
      <c r="H6" s="75">
        <v>9600</v>
      </c>
      <c r="I6" s="75">
        <f t="shared" si="0"/>
        <v>6720</v>
      </c>
      <c r="J6" s="42">
        <v>560.98442829457395</v>
      </c>
      <c r="K6" s="43">
        <v>74.9479166666667</v>
      </c>
      <c r="L6" s="75">
        <f t="shared" si="1"/>
        <v>2880</v>
      </c>
      <c r="M6" s="75">
        <v>7</v>
      </c>
      <c r="N6" s="79">
        <v>0.93521233674403204</v>
      </c>
      <c r="O6" s="83">
        <f t="shared" si="2"/>
        <v>1282.5698318861573</v>
      </c>
      <c r="P6" s="64">
        <f t="shared" si="3"/>
        <v>2196.8555461718715</v>
      </c>
      <c r="Q6" s="50" t="s">
        <v>51</v>
      </c>
      <c r="R6" s="50" t="s">
        <v>51</v>
      </c>
      <c r="T6" s="91" t="s">
        <v>71</v>
      </c>
      <c r="U6" s="65">
        <f>P7+P8</f>
        <v>3997.4496005453184</v>
      </c>
    </row>
    <row r="7" spans="5:21" ht="24" x14ac:dyDescent="0.35">
      <c r="E7" s="49" t="s">
        <v>128</v>
      </c>
      <c r="F7" s="43">
        <v>5</v>
      </c>
      <c r="G7" s="79">
        <v>914.28571428571399</v>
      </c>
      <c r="H7" s="75">
        <v>9600</v>
      </c>
      <c r="I7" s="75">
        <f t="shared" si="0"/>
        <v>6720</v>
      </c>
      <c r="J7" s="42">
        <v>560.98442829457395</v>
      </c>
      <c r="K7" s="42">
        <v>63.74</v>
      </c>
      <c r="L7" s="75">
        <f t="shared" si="1"/>
        <v>2880</v>
      </c>
      <c r="M7" s="75">
        <v>7</v>
      </c>
      <c r="N7" s="79">
        <v>0.79535812328425304</v>
      </c>
      <c r="O7" s="83">
        <f t="shared" si="2"/>
        <v>1090.7708275336579</v>
      </c>
      <c r="P7" s="64">
        <f t="shared" si="3"/>
        <v>2005.0565418193719</v>
      </c>
      <c r="Q7" s="50" t="s">
        <v>71</v>
      </c>
      <c r="R7" s="50" t="s">
        <v>71</v>
      </c>
      <c r="T7" s="92" t="s">
        <v>77</v>
      </c>
      <c r="U7" s="65">
        <v>975.20348306573396</v>
      </c>
    </row>
    <row r="8" spans="5:21" ht="22.5" x14ac:dyDescent="0.25">
      <c r="E8" s="48" t="s">
        <v>115</v>
      </c>
      <c r="F8" s="43">
        <v>6</v>
      </c>
      <c r="G8" s="79">
        <v>914.28571428571399</v>
      </c>
      <c r="H8" s="75">
        <v>9600</v>
      </c>
      <c r="I8" s="75">
        <f t="shared" si="0"/>
        <v>6720</v>
      </c>
      <c r="J8" s="42">
        <v>560.98442829457395</v>
      </c>
      <c r="K8" s="42">
        <v>63</v>
      </c>
      <c r="L8" s="75">
        <f t="shared" si="1"/>
        <v>2880</v>
      </c>
      <c r="M8" s="75">
        <v>7</v>
      </c>
      <c r="N8" s="79">
        <v>0.78612428250561495</v>
      </c>
      <c r="O8" s="83">
        <f t="shared" si="2"/>
        <v>1078.1073444402325</v>
      </c>
      <c r="P8" s="64">
        <f t="shared" si="3"/>
        <v>1992.3930587259465</v>
      </c>
      <c r="Q8" s="50" t="s">
        <v>71</v>
      </c>
      <c r="R8" s="50" t="s">
        <v>71</v>
      </c>
      <c r="T8" s="91" t="s">
        <v>89</v>
      </c>
      <c r="U8" s="65">
        <v>975.20348306573396</v>
      </c>
    </row>
    <row r="9" spans="5:21" ht="22.5" x14ac:dyDescent="0.25">
      <c r="E9" s="48" t="s">
        <v>114</v>
      </c>
      <c r="F9" s="43">
        <v>7</v>
      </c>
      <c r="G9" s="79">
        <v>914.28571428571399</v>
      </c>
      <c r="H9" s="75">
        <v>9600</v>
      </c>
      <c r="I9" s="75">
        <f t="shared" si="0"/>
        <v>6720</v>
      </c>
      <c r="J9" s="42">
        <v>560.98442829457395</v>
      </c>
      <c r="K9" s="43">
        <v>60.546511627907002</v>
      </c>
      <c r="L9" s="75">
        <f t="shared" si="1"/>
        <v>2880</v>
      </c>
      <c r="M9" s="75">
        <v>7</v>
      </c>
      <c r="N9" s="79">
        <v>0.755509254154068</v>
      </c>
      <c r="O9" s="83">
        <f t="shared" si="2"/>
        <v>1036.1212518457537</v>
      </c>
      <c r="P9" s="64">
        <f t="shared" si="3"/>
        <v>1950.4069661314677</v>
      </c>
      <c r="Q9" s="88" t="s">
        <v>77</v>
      </c>
      <c r="R9" s="50" t="s">
        <v>89</v>
      </c>
      <c r="S9" s="93">
        <f>P9/2</f>
        <v>975.20348306573385</v>
      </c>
      <c r="T9" s="94"/>
      <c r="U9" s="65">
        <f>SUM(U3:U8)</f>
        <v>16000.022734301347</v>
      </c>
    </row>
    <row r="10" spans="5:21" x14ac:dyDescent="0.15">
      <c r="E10" s="76" t="s">
        <v>40</v>
      </c>
      <c r="F10" s="76"/>
      <c r="G10" s="80">
        <f>SUM(G3:G9)</f>
        <v>6399.9999999999973</v>
      </c>
      <c r="H10" s="76"/>
      <c r="I10" s="76"/>
      <c r="J10" s="76"/>
      <c r="K10" s="76"/>
      <c r="L10" s="76"/>
      <c r="M10" s="76"/>
      <c r="N10" s="76"/>
      <c r="O10" s="84">
        <f>SUM(O3:O9)</f>
        <v>9600.0227343013485</v>
      </c>
      <c r="P10" s="84">
        <f>SUM(P3:P9)</f>
        <v>16000.022734301347</v>
      </c>
    </row>
    <row r="17" spans="5:17" ht="20.25" x14ac:dyDescent="0.25">
      <c r="E17" s="78" t="s">
        <v>94</v>
      </c>
      <c r="F17" s="81" t="s">
        <v>95</v>
      </c>
      <c r="G17" s="75" t="s">
        <v>116</v>
      </c>
      <c r="H17" s="78" t="s">
        <v>117</v>
      </c>
      <c r="I17" s="78" t="s">
        <v>118</v>
      </c>
      <c r="J17" s="78" t="s">
        <v>119</v>
      </c>
      <c r="K17" s="78" t="s">
        <v>120</v>
      </c>
      <c r="L17" s="76" t="s">
        <v>106</v>
      </c>
      <c r="M17" s="76" t="s">
        <v>107</v>
      </c>
      <c r="N17" s="75" t="s">
        <v>40</v>
      </c>
    </row>
    <row r="18" spans="5:17" ht="22.5" x14ac:dyDescent="0.25">
      <c r="E18" s="48" t="s">
        <v>110</v>
      </c>
      <c r="F18" s="43">
        <v>1</v>
      </c>
      <c r="G18" s="75">
        <v>3200</v>
      </c>
      <c r="H18" s="79">
        <f t="shared" ref="H18:H24" si="4">G18/7</f>
        <v>457.14285714285717</v>
      </c>
      <c r="I18" s="75">
        <v>4800</v>
      </c>
      <c r="J18" s="85">
        <f>I18*63%*43%</f>
        <v>1300.32</v>
      </c>
      <c r="K18" s="75"/>
      <c r="L18" s="50" t="s">
        <v>59</v>
      </c>
      <c r="M18" s="50" t="s">
        <v>59</v>
      </c>
      <c r="N18" s="60">
        <f t="shared" ref="N18:N24" si="5">H18+J18+K18</f>
        <v>1757.462857142857</v>
      </c>
      <c r="P18" s="86" t="s">
        <v>59</v>
      </c>
      <c r="Q18" s="64">
        <f>N18+N19</f>
        <v>3212.5257142857145</v>
      </c>
    </row>
    <row r="19" spans="5:17" ht="24" x14ac:dyDescent="0.35">
      <c r="E19" s="49" t="s">
        <v>125</v>
      </c>
      <c r="F19" s="43">
        <v>2</v>
      </c>
      <c r="G19" s="75">
        <v>3200</v>
      </c>
      <c r="H19" s="79">
        <f t="shared" si="4"/>
        <v>457.14285714285717</v>
      </c>
      <c r="I19" s="75">
        <v>4800</v>
      </c>
      <c r="J19" s="85">
        <f>I19*0.63*0.33</f>
        <v>997.92000000000007</v>
      </c>
      <c r="K19" s="75"/>
      <c r="L19" s="50" t="s">
        <v>59</v>
      </c>
      <c r="M19" s="50" t="s">
        <v>59</v>
      </c>
      <c r="N19" s="60">
        <f t="shared" si="5"/>
        <v>1455.0628571428572</v>
      </c>
      <c r="P19" s="86" t="s">
        <v>55</v>
      </c>
      <c r="Q19" s="64">
        <v>1182.9028571428601</v>
      </c>
    </row>
    <row r="20" spans="5:17" ht="24" x14ac:dyDescent="0.35">
      <c r="E20" s="49" t="s">
        <v>126</v>
      </c>
      <c r="F20" s="43">
        <v>3</v>
      </c>
      <c r="G20" s="75">
        <v>3200</v>
      </c>
      <c r="H20" s="79">
        <f t="shared" si="4"/>
        <v>457.14285714285717</v>
      </c>
      <c r="I20" s="75">
        <v>4800</v>
      </c>
      <c r="J20" s="85">
        <f>I20*0.63*0.24</f>
        <v>725.76</v>
      </c>
      <c r="K20" s="75"/>
      <c r="L20" s="50" t="s">
        <v>55</v>
      </c>
      <c r="M20" s="50" t="s">
        <v>55</v>
      </c>
      <c r="N20" s="60">
        <f t="shared" si="5"/>
        <v>1182.9028571428571</v>
      </c>
      <c r="P20" s="86" t="s">
        <v>51</v>
      </c>
      <c r="Q20" s="64">
        <v>1096.50285714286</v>
      </c>
    </row>
    <row r="21" spans="5:17" ht="24" x14ac:dyDescent="0.35">
      <c r="E21" s="49" t="s">
        <v>127</v>
      </c>
      <c r="F21" s="43">
        <v>1</v>
      </c>
      <c r="G21" s="75">
        <v>3200</v>
      </c>
      <c r="H21" s="79">
        <f t="shared" si="4"/>
        <v>457.14285714285717</v>
      </c>
      <c r="I21" s="75">
        <v>4800</v>
      </c>
      <c r="J21" s="43"/>
      <c r="K21" s="60">
        <f>I21*0.37*0.36</f>
        <v>639.36</v>
      </c>
      <c r="L21" s="50" t="s">
        <v>51</v>
      </c>
      <c r="M21" s="50" t="s">
        <v>51</v>
      </c>
      <c r="N21" s="60">
        <f t="shared" si="5"/>
        <v>1096.5028571428572</v>
      </c>
      <c r="P21" s="86" t="s">
        <v>71</v>
      </c>
      <c r="Q21" s="64">
        <f>N22+N23</f>
        <v>1784.5257142857142</v>
      </c>
    </row>
    <row r="22" spans="5:17" ht="24" x14ac:dyDescent="0.35">
      <c r="E22" s="49" t="s">
        <v>128</v>
      </c>
      <c r="F22" s="43">
        <v>2</v>
      </c>
      <c r="G22" s="75">
        <v>3200</v>
      </c>
      <c r="H22" s="79">
        <f t="shared" si="4"/>
        <v>457.14285714285717</v>
      </c>
      <c r="I22" s="75">
        <v>4800</v>
      </c>
      <c r="J22" s="42"/>
      <c r="K22" s="60">
        <f>I22*0.37*0.29</f>
        <v>515.04</v>
      </c>
      <c r="L22" s="50" t="s">
        <v>71</v>
      </c>
      <c r="M22" s="50" t="s">
        <v>71</v>
      </c>
      <c r="N22" s="60">
        <f t="shared" si="5"/>
        <v>972.18285714285707</v>
      </c>
      <c r="P22" s="87" t="s">
        <v>77</v>
      </c>
      <c r="Q22" s="64">
        <v>361.771428571429</v>
      </c>
    </row>
    <row r="23" spans="5:17" ht="22.5" x14ac:dyDescent="0.25">
      <c r="E23" s="48" t="s">
        <v>115</v>
      </c>
      <c r="F23" s="43">
        <v>3</v>
      </c>
      <c r="G23" s="75">
        <v>3200</v>
      </c>
      <c r="H23" s="79">
        <f t="shared" si="4"/>
        <v>457.14285714285717</v>
      </c>
      <c r="I23" s="75">
        <v>4800</v>
      </c>
      <c r="J23" s="42"/>
      <c r="K23" s="60">
        <f>I23*0.37*0.2</f>
        <v>355.20000000000005</v>
      </c>
      <c r="L23" s="50" t="s">
        <v>71</v>
      </c>
      <c r="M23" s="50" t="s">
        <v>71</v>
      </c>
      <c r="N23" s="60">
        <f t="shared" si="5"/>
        <v>812.34285714285716</v>
      </c>
      <c r="P23" s="86" t="s">
        <v>89</v>
      </c>
      <c r="Q23" s="64">
        <v>361.771428571429</v>
      </c>
    </row>
    <row r="24" spans="5:17" ht="22.5" x14ac:dyDescent="0.25">
      <c r="E24" s="48" t="s">
        <v>114</v>
      </c>
      <c r="F24" s="43">
        <v>4</v>
      </c>
      <c r="G24" s="75">
        <v>3200</v>
      </c>
      <c r="H24" s="79">
        <f t="shared" si="4"/>
        <v>457.14285714285717</v>
      </c>
      <c r="I24" s="75">
        <v>4800</v>
      </c>
      <c r="J24" s="43"/>
      <c r="K24" s="60">
        <f>I24*0.37*0.15</f>
        <v>266.39999999999998</v>
      </c>
      <c r="L24" s="88" t="s">
        <v>77</v>
      </c>
      <c r="M24" s="50" t="s">
        <v>89</v>
      </c>
      <c r="N24" s="60">
        <f t="shared" si="5"/>
        <v>723.5428571428572</v>
      </c>
      <c r="O24">
        <f>N24/2</f>
        <v>361.7714285714286</v>
      </c>
      <c r="P24" s="64"/>
      <c r="Q24" s="64">
        <f>SUM(Q18:Q23)</f>
        <v>8000.0000000000073</v>
      </c>
    </row>
    <row r="25" spans="5:17" x14ac:dyDescent="0.15">
      <c r="E25" s="76" t="s">
        <v>40</v>
      </c>
      <c r="F25" s="80"/>
      <c r="G25" s="76"/>
      <c r="H25" s="76"/>
      <c r="I25" s="76"/>
      <c r="J25" s="76">
        <f>SUM(J18:J24)</f>
        <v>3024</v>
      </c>
      <c r="K25" s="76">
        <f>SUM(K21:K24)</f>
        <v>1776</v>
      </c>
      <c r="L25" s="89">
        <f>SUM(J25:K25)</f>
        <v>4800</v>
      </c>
      <c r="M25" s="76"/>
      <c r="N25" s="90">
        <f>SUM(N18:N24)</f>
        <v>8000.0000000000009</v>
      </c>
    </row>
  </sheetData>
  <phoneticPr fontId="4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4"/>
  <sheetViews>
    <sheetView workbookViewId="0">
      <selection sqref="A1:U44"/>
    </sheetView>
  </sheetViews>
  <sheetFormatPr defaultColWidth="9" defaultRowHeight="13.5" x14ac:dyDescent="0.15"/>
  <cols>
    <col min="1" max="1" width="15.125" customWidth="1"/>
    <col min="2" max="2" width="16.5" customWidth="1"/>
    <col min="3" max="3" width="15.5" customWidth="1"/>
    <col min="4" max="4" width="17.625" customWidth="1"/>
    <col min="5" max="5" width="16.25" customWidth="1"/>
    <col min="6" max="6" width="21.125" customWidth="1"/>
    <col min="10" max="10" width="11.5" customWidth="1"/>
    <col min="15" max="15" width="7.5" customWidth="1"/>
  </cols>
  <sheetData>
    <row r="1" spans="1:20" ht="18.75" x14ac:dyDescent="0.15">
      <c r="A1" s="53" t="s">
        <v>1</v>
      </c>
      <c r="B1" s="54" t="s">
        <v>2</v>
      </c>
      <c r="C1" s="53" t="s">
        <v>3</v>
      </c>
      <c r="D1" s="53" t="s">
        <v>4</v>
      </c>
      <c r="E1" s="53" t="s">
        <v>5</v>
      </c>
      <c r="F1" s="53" t="s">
        <v>6</v>
      </c>
    </row>
    <row r="2" spans="1:20" ht="18.75" x14ac:dyDescent="0.2">
      <c r="A2" s="55" t="s">
        <v>8</v>
      </c>
      <c r="B2" s="56">
        <v>11908.4183193467</v>
      </c>
      <c r="C2" s="56">
        <v>4804.8</v>
      </c>
      <c r="D2" s="56"/>
      <c r="E2" s="56"/>
      <c r="F2" s="56">
        <f t="shared" ref="F2:F43" si="0">B2+C2+D2+E2</f>
        <v>16713.218319346699</v>
      </c>
      <c r="H2" s="57" t="s">
        <v>0</v>
      </c>
      <c r="I2" s="57" t="s">
        <v>9</v>
      </c>
      <c r="J2" s="57" t="s">
        <v>10</v>
      </c>
      <c r="K2" s="57" t="s">
        <v>11</v>
      </c>
      <c r="L2" s="66" t="s">
        <v>12</v>
      </c>
      <c r="M2" s="66" t="s">
        <v>13</v>
      </c>
      <c r="O2" s="57" t="s">
        <v>0</v>
      </c>
      <c r="P2" s="57" t="s">
        <v>9</v>
      </c>
      <c r="Q2" s="57" t="s">
        <v>10</v>
      </c>
      <c r="R2" s="66" t="s">
        <v>11</v>
      </c>
      <c r="S2" s="57" t="s">
        <v>14</v>
      </c>
      <c r="T2" s="66" t="s">
        <v>13</v>
      </c>
    </row>
    <row r="3" spans="1:20" ht="18.75" x14ac:dyDescent="0.2">
      <c r="A3" s="55" t="s">
        <v>16</v>
      </c>
      <c r="B3" s="56">
        <v>8235.0066716086003</v>
      </c>
      <c r="C3" s="56">
        <v>7596</v>
      </c>
      <c r="D3" s="56"/>
      <c r="E3" s="56"/>
      <c r="F3" s="56">
        <f t="shared" si="0"/>
        <v>15831.0066716086</v>
      </c>
      <c r="H3" s="57" t="s">
        <v>17</v>
      </c>
      <c r="I3" s="57" t="s">
        <v>18</v>
      </c>
      <c r="J3" s="58">
        <v>30000</v>
      </c>
      <c r="K3" s="58">
        <f t="shared" ref="K3:K8" si="1">J3*0.8</f>
        <v>24000</v>
      </c>
      <c r="L3" s="67">
        <f t="shared" ref="L3:L8" si="2">K3*40%</f>
        <v>9600</v>
      </c>
      <c r="M3" s="68">
        <f t="shared" ref="M3:M8" si="3">K3*0.6</f>
        <v>14400</v>
      </c>
      <c r="O3" s="57" t="s">
        <v>19</v>
      </c>
      <c r="P3" s="57" t="s">
        <v>20</v>
      </c>
      <c r="Q3" s="58">
        <v>20000</v>
      </c>
      <c r="R3" s="67">
        <f t="shared" ref="R3:R8" si="4">Q3*0.8</f>
        <v>16000</v>
      </c>
      <c r="S3" s="58">
        <f t="shared" ref="S3:S8" si="5">R3*0.4</f>
        <v>6400</v>
      </c>
      <c r="T3" s="58">
        <f t="shared" ref="T3:T8" si="6">R3*0.6</f>
        <v>9600</v>
      </c>
    </row>
    <row r="4" spans="1:20" ht="18.75" x14ac:dyDescent="0.2">
      <c r="A4" s="55" t="s">
        <v>22</v>
      </c>
      <c r="B4" s="56">
        <v>9934.1331733653296</v>
      </c>
      <c r="C4" s="56">
        <v>4149.2</v>
      </c>
      <c r="D4" s="56"/>
      <c r="E4" s="56"/>
      <c r="F4" s="56">
        <f t="shared" si="0"/>
        <v>14083.333173365329</v>
      </c>
      <c r="H4" s="57" t="s">
        <v>23</v>
      </c>
      <c r="I4" s="57" t="s">
        <v>18</v>
      </c>
      <c r="J4" s="58">
        <v>30000</v>
      </c>
      <c r="K4" s="58">
        <f t="shared" si="1"/>
        <v>24000</v>
      </c>
      <c r="L4" s="67">
        <f t="shared" si="2"/>
        <v>9600</v>
      </c>
      <c r="M4" s="68">
        <f t="shared" si="3"/>
        <v>14400</v>
      </c>
      <c r="O4" s="57" t="s">
        <v>24</v>
      </c>
      <c r="P4" s="57" t="s">
        <v>20</v>
      </c>
      <c r="Q4" s="58">
        <v>20000</v>
      </c>
      <c r="R4" s="67">
        <f t="shared" si="4"/>
        <v>16000</v>
      </c>
      <c r="S4" s="58">
        <f t="shared" si="5"/>
        <v>6400</v>
      </c>
      <c r="T4" s="58">
        <f t="shared" si="6"/>
        <v>9600</v>
      </c>
    </row>
    <row r="5" spans="1:20" ht="18.75" x14ac:dyDescent="0.2">
      <c r="A5" s="55" t="s">
        <v>26</v>
      </c>
      <c r="B5" s="56">
        <v>6411.9154784401298</v>
      </c>
      <c r="C5" s="56">
        <v>6304</v>
      </c>
      <c r="D5" s="56"/>
      <c r="E5" s="56"/>
      <c r="F5" s="56">
        <f t="shared" si="0"/>
        <v>12715.915478440129</v>
      </c>
      <c r="H5" s="58" t="s">
        <v>27</v>
      </c>
      <c r="I5" s="57" t="s">
        <v>20</v>
      </c>
      <c r="J5" s="58">
        <v>20000</v>
      </c>
      <c r="K5" s="58">
        <f t="shared" si="1"/>
        <v>16000</v>
      </c>
      <c r="L5" s="67">
        <f t="shared" si="2"/>
        <v>6400</v>
      </c>
      <c r="M5" s="68">
        <f t="shared" si="3"/>
        <v>9600</v>
      </c>
      <c r="O5" s="58" t="s">
        <v>28</v>
      </c>
      <c r="P5" s="57" t="s">
        <v>20</v>
      </c>
      <c r="Q5" s="58">
        <v>20000</v>
      </c>
      <c r="R5" s="67">
        <f t="shared" si="4"/>
        <v>16000</v>
      </c>
      <c r="S5" s="58">
        <f t="shared" si="5"/>
        <v>6400</v>
      </c>
      <c r="T5" s="58">
        <f t="shared" si="6"/>
        <v>9600</v>
      </c>
    </row>
    <row r="6" spans="1:20" ht="18.75" x14ac:dyDescent="0.25">
      <c r="A6" s="59" t="s">
        <v>29</v>
      </c>
      <c r="B6" s="60"/>
      <c r="C6" s="60"/>
      <c r="D6" s="60">
        <v>6972.87422273831</v>
      </c>
      <c r="E6" s="60">
        <v>5707.9314285714199</v>
      </c>
      <c r="F6" s="56">
        <f t="shared" si="0"/>
        <v>12680.805651309729</v>
      </c>
      <c r="H6" s="57" t="s">
        <v>30</v>
      </c>
      <c r="I6" s="57" t="s">
        <v>20</v>
      </c>
      <c r="J6" s="58">
        <v>17000</v>
      </c>
      <c r="K6" s="58">
        <f t="shared" si="1"/>
        <v>13600</v>
      </c>
      <c r="L6" s="67">
        <f t="shared" si="2"/>
        <v>5440</v>
      </c>
      <c r="M6" s="68">
        <f t="shared" si="3"/>
        <v>8160</v>
      </c>
      <c r="O6" s="57" t="s">
        <v>31</v>
      </c>
      <c r="P6" s="57" t="s">
        <v>18</v>
      </c>
      <c r="Q6" s="58">
        <v>25000</v>
      </c>
      <c r="R6" s="67">
        <f t="shared" si="4"/>
        <v>20000</v>
      </c>
      <c r="S6" s="58">
        <f t="shared" si="5"/>
        <v>8000</v>
      </c>
      <c r="T6" s="58">
        <f t="shared" si="6"/>
        <v>12000</v>
      </c>
    </row>
    <row r="7" spans="1:20" ht="18.75" x14ac:dyDescent="0.2">
      <c r="A7" s="55" t="s">
        <v>32</v>
      </c>
      <c r="B7" s="56">
        <v>3279.2441161312499</v>
      </c>
      <c r="C7" s="56">
        <v>3920</v>
      </c>
      <c r="D7" s="60">
        <v>3317.9598277774699</v>
      </c>
      <c r="E7" s="60">
        <v>1624.68571428571</v>
      </c>
      <c r="F7" s="56">
        <f t="shared" si="0"/>
        <v>12141.88965819443</v>
      </c>
      <c r="H7" s="57" t="s">
        <v>33</v>
      </c>
      <c r="I7" s="57" t="s">
        <v>20</v>
      </c>
      <c r="J7" s="58">
        <v>17000</v>
      </c>
      <c r="K7" s="58">
        <f t="shared" si="1"/>
        <v>13600</v>
      </c>
      <c r="L7" s="67">
        <f t="shared" si="2"/>
        <v>5440</v>
      </c>
      <c r="M7" s="68">
        <f t="shared" si="3"/>
        <v>8160</v>
      </c>
      <c r="O7" s="57" t="s">
        <v>34</v>
      </c>
      <c r="P7" s="57" t="s">
        <v>18</v>
      </c>
      <c r="Q7" s="58">
        <v>25000</v>
      </c>
      <c r="R7" s="67">
        <f t="shared" si="4"/>
        <v>20000</v>
      </c>
      <c r="S7" s="58">
        <f t="shared" si="5"/>
        <v>8000</v>
      </c>
      <c r="T7" s="58">
        <f t="shared" si="6"/>
        <v>12000</v>
      </c>
    </row>
    <row r="8" spans="1:20" ht="18.75" x14ac:dyDescent="0.2">
      <c r="A8" s="55" t="s">
        <v>35</v>
      </c>
      <c r="B8" s="56">
        <v>8091.5816806532903</v>
      </c>
      <c r="C8" s="56">
        <v>3995.2</v>
      </c>
      <c r="D8" s="56"/>
      <c r="E8" s="56"/>
      <c r="F8" s="56">
        <f t="shared" si="0"/>
        <v>12086.78168065329</v>
      </c>
      <c r="H8" s="58" t="s">
        <v>36</v>
      </c>
      <c r="I8" s="57" t="s">
        <v>37</v>
      </c>
      <c r="J8" s="58">
        <v>8000</v>
      </c>
      <c r="K8" s="58">
        <f t="shared" si="1"/>
        <v>6400</v>
      </c>
      <c r="L8" s="67">
        <f t="shared" si="2"/>
        <v>2560</v>
      </c>
      <c r="M8" s="68">
        <f t="shared" si="3"/>
        <v>3840</v>
      </c>
      <c r="O8" s="58" t="s">
        <v>38</v>
      </c>
      <c r="P8" s="57" t="s">
        <v>20</v>
      </c>
      <c r="Q8" s="58">
        <v>17000</v>
      </c>
      <c r="R8" s="67">
        <f t="shared" si="4"/>
        <v>13600</v>
      </c>
      <c r="S8" s="58">
        <f t="shared" si="5"/>
        <v>5440</v>
      </c>
      <c r="T8" s="58">
        <f t="shared" si="6"/>
        <v>8160</v>
      </c>
    </row>
    <row r="9" spans="1:20" ht="18.75" x14ac:dyDescent="0.2">
      <c r="A9" s="55" t="s">
        <v>39</v>
      </c>
      <c r="B9" s="56">
        <v>8075.5848830233999</v>
      </c>
      <c r="C9" s="56">
        <v>3731.2</v>
      </c>
      <c r="D9" s="56"/>
      <c r="E9" s="56"/>
      <c r="F9" s="56">
        <f t="shared" si="0"/>
        <v>11806.7848830234</v>
      </c>
      <c r="H9" s="61" t="s">
        <v>40</v>
      </c>
      <c r="I9" s="69"/>
      <c r="J9" s="69">
        <f>SUM(J3:J8)</f>
        <v>122000</v>
      </c>
      <c r="K9" s="70">
        <f>SUM(K3:K8)</f>
        <v>97600</v>
      </c>
      <c r="L9" s="71"/>
      <c r="M9" s="69"/>
      <c r="O9" s="69"/>
      <c r="P9" s="69"/>
      <c r="Q9" s="69">
        <f>SUM(Q3:Q8)</f>
        <v>127000</v>
      </c>
      <c r="R9" s="71">
        <f>SUM(R3:R8)</f>
        <v>101600</v>
      </c>
      <c r="S9" s="69"/>
      <c r="T9" s="69"/>
    </row>
    <row r="10" spans="1:20" ht="18.75" x14ac:dyDescent="0.15">
      <c r="A10" s="55" t="s">
        <v>41</v>
      </c>
      <c r="B10" s="56">
        <v>3140.2989177117302</v>
      </c>
      <c r="C10" s="56">
        <v>2432</v>
      </c>
      <c r="D10" s="60">
        <v>3336.3766986800201</v>
      </c>
      <c r="E10" s="60">
        <v>1944.3657142857101</v>
      </c>
      <c r="F10" s="56">
        <f t="shared" si="0"/>
        <v>10853.041330677461</v>
      </c>
    </row>
    <row r="11" spans="1:20" ht="18.75" x14ac:dyDescent="0.15">
      <c r="A11" s="55" t="s">
        <v>43</v>
      </c>
      <c r="B11" s="56">
        <v>6021.2226734160304</v>
      </c>
      <c r="C11" s="56">
        <v>4656</v>
      </c>
      <c r="D11" s="56"/>
      <c r="E11" s="56"/>
      <c r="F11" s="56">
        <f t="shared" si="0"/>
        <v>10677.22267341603</v>
      </c>
    </row>
    <row r="12" spans="1:20" ht="18.75" x14ac:dyDescent="0.25">
      <c r="A12" s="59" t="s">
        <v>44</v>
      </c>
      <c r="B12" s="60"/>
      <c r="C12" s="60"/>
      <c r="D12" s="60">
        <v>6821.5164577780997</v>
      </c>
      <c r="E12" s="60">
        <v>3812.89142857142</v>
      </c>
      <c r="F12" s="56">
        <f t="shared" si="0"/>
        <v>10634.40788634952</v>
      </c>
      <c r="H12" s="57" t="s">
        <v>0</v>
      </c>
      <c r="I12" s="57" t="s">
        <v>45</v>
      </c>
      <c r="J12" s="57" t="s">
        <v>10</v>
      </c>
      <c r="K12" s="57" t="s">
        <v>11</v>
      </c>
      <c r="L12" s="72" t="s">
        <v>46</v>
      </c>
      <c r="M12" s="73" t="s">
        <v>47</v>
      </c>
      <c r="O12" s="57" t="s">
        <v>0</v>
      </c>
      <c r="P12" s="57" t="s">
        <v>45</v>
      </c>
      <c r="Q12" s="57" t="s">
        <v>10</v>
      </c>
      <c r="R12" s="57" t="s">
        <v>11</v>
      </c>
      <c r="S12" s="72" t="s">
        <v>46</v>
      </c>
      <c r="T12" s="73" t="s">
        <v>47</v>
      </c>
    </row>
    <row r="13" spans="1:20" ht="18.75" x14ac:dyDescent="0.25">
      <c r="A13" s="59" t="s">
        <v>49</v>
      </c>
      <c r="B13" s="60"/>
      <c r="C13" s="60"/>
      <c r="D13" s="60">
        <v>7081.2852463247</v>
      </c>
      <c r="E13" s="60">
        <v>2853.96571428571</v>
      </c>
      <c r="F13" s="56">
        <f t="shared" si="0"/>
        <v>9935.2509606104104</v>
      </c>
      <c r="H13" s="58" t="s">
        <v>17</v>
      </c>
      <c r="I13" s="57" t="s">
        <v>50</v>
      </c>
      <c r="J13" s="58">
        <v>20000</v>
      </c>
      <c r="K13" s="58">
        <f t="shared" ref="K13:K16" si="7">J13*0.8</f>
        <v>16000</v>
      </c>
      <c r="L13" s="58">
        <f t="shared" ref="L13:L17" si="8">K13*0.4</f>
        <v>6400</v>
      </c>
      <c r="M13" s="58">
        <f t="shared" ref="M13:M17" si="9">K13*0.6</f>
        <v>9600</v>
      </c>
      <c r="O13" s="58" t="s">
        <v>19</v>
      </c>
      <c r="P13" s="57" t="s">
        <v>50</v>
      </c>
      <c r="Q13" s="58">
        <v>20000</v>
      </c>
      <c r="R13" s="58">
        <f t="shared" ref="R13:R17" si="10">Q13*0.8</f>
        <v>16000</v>
      </c>
      <c r="S13" s="75">
        <f t="shared" ref="S13:S17" si="11">R13*0.4</f>
        <v>6400</v>
      </c>
      <c r="T13" s="75">
        <f t="shared" ref="T13:T17" si="12">R13*0.6</f>
        <v>9600</v>
      </c>
    </row>
    <row r="14" spans="1:20" ht="18.75" x14ac:dyDescent="0.2">
      <c r="A14" s="55" t="s">
        <v>51</v>
      </c>
      <c r="B14" s="56">
        <v>3681.4685431384501</v>
      </c>
      <c r="C14" s="56">
        <v>2940</v>
      </c>
      <c r="D14" s="60">
        <v>2196.8555461718702</v>
      </c>
      <c r="E14" s="60">
        <v>1096.50285714286</v>
      </c>
      <c r="F14" s="56">
        <f t="shared" si="0"/>
        <v>9914.8269464531786</v>
      </c>
      <c r="H14" s="58" t="s">
        <v>23</v>
      </c>
      <c r="I14" s="57" t="s">
        <v>52</v>
      </c>
      <c r="J14" s="58">
        <v>10000</v>
      </c>
      <c r="K14" s="58">
        <f t="shared" si="7"/>
        <v>8000</v>
      </c>
      <c r="L14" s="58">
        <f t="shared" si="8"/>
        <v>3200</v>
      </c>
      <c r="M14" s="58">
        <f t="shared" si="9"/>
        <v>4800</v>
      </c>
      <c r="O14" s="58" t="s">
        <v>53</v>
      </c>
      <c r="P14" s="57" t="s">
        <v>54</v>
      </c>
      <c r="Q14" s="75">
        <v>15000</v>
      </c>
      <c r="R14" s="58">
        <f t="shared" si="10"/>
        <v>12000</v>
      </c>
      <c r="S14" s="75">
        <f t="shared" si="11"/>
        <v>4800</v>
      </c>
      <c r="T14" s="75">
        <f t="shared" si="12"/>
        <v>7200</v>
      </c>
    </row>
    <row r="15" spans="1:20" ht="18.75" x14ac:dyDescent="0.2">
      <c r="A15" s="55" t="s">
        <v>55</v>
      </c>
      <c r="B15" s="56">
        <v>3505.7773822106001</v>
      </c>
      <c r="C15" s="56">
        <v>2580</v>
      </c>
      <c r="D15" s="60">
        <v>2573.8865121240301</v>
      </c>
      <c r="E15" s="60">
        <v>1182.9028571428601</v>
      </c>
      <c r="F15" s="56">
        <f t="shared" si="0"/>
        <v>9842.5667514774905</v>
      </c>
      <c r="H15" s="58" t="s">
        <v>27</v>
      </c>
      <c r="I15" s="57" t="s">
        <v>52</v>
      </c>
      <c r="J15" s="58">
        <v>10000</v>
      </c>
      <c r="K15" s="58">
        <f t="shared" si="7"/>
        <v>8000</v>
      </c>
      <c r="L15" s="58">
        <f t="shared" si="8"/>
        <v>3200</v>
      </c>
      <c r="M15" s="58">
        <f t="shared" si="9"/>
        <v>4800</v>
      </c>
      <c r="O15" s="58" t="s">
        <v>38</v>
      </c>
      <c r="P15" s="57" t="s">
        <v>50</v>
      </c>
      <c r="Q15" s="75">
        <v>15000</v>
      </c>
      <c r="R15" s="58">
        <f t="shared" si="10"/>
        <v>12000</v>
      </c>
      <c r="S15" s="75">
        <f t="shared" si="11"/>
        <v>4800</v>
      </c>
      <c r="T15" s="75">
        <f t="shared" si="12"/>
        <v>7200</v>
      </c>
    </row>
    <row r="16" spans="1:20" ht="18.75" x14ac:dyDescent="0.2">
      <c r="A16" s="55" t="s">
        <v>56</v>
      </c>
      <c r="B16" s="56">
        <v>5364.9933283913997</v>
      </c>
      <c r="C16" s="56">
        <v>4404</v>
      </c>
      <c r="D16" s="56"/>
      <c r="E16" s="56"/>
      <c r="F16" s="56">
        <f t="shared" si="0"/>
        <v>9768.9933283913997</v>
      </c>
      <c r="H16" s="58" t="s">
        <v>33</v>
      </c>
      <c r="I16" s="57" t="s">
        <v>52</v>
      </c>
      <c r="J16" s="58">
        <v>7000</v>
      </c>
      <c r="K16" s="58">
        <f t="shared" si="7"/>
        <v>5600</v>
      </c>
      <c r="L16" s="58">
        <f t="shared" si="8"/>
        <v>2240</v>
      </c>
      <c r="M16" s="58">
        <f t="shared" si="9"/>
        <v>3360</v>
      </c>
      <c r="O16" s="58" t="s">
        <v>31</v>
      </c>
      <c r="P16" s="58" t="s">
        <v>54</v>
      </c>
      <c r="Q16" s="58">
        <v>11000</v>
      </c>
      <c r="R16" s="58">
        <f t="shared" si="10"/>
        <v>8800</v>
      </c>
      <c r="S16" s="75">
        <f t="shared" si="11"/>
        <v>3520</v>
      </c>
      <c r="T16" s="75">
        <f t="shared" si="12"/>
        <v>5280</v>
      </c>
    </row>
    <row r="17" spans="1:20" ht="18.75" x14ac:dyDescent="0.2">
      <c r="A17" s="55" t="s">
        <v>57</v>
      </c>
      <c r="B17" s="56">
        <v>1584.27074385844</v>
      </c>
      <c r="C17" s="56">
        <v>1672</v>
      </c>
      <c r="D17" s="60">
        <v>3551.1966122342801</v>
      </c>
      <c r="E17" s="60">
        <v>2910.1257142857098</v>
      </c>
      <c r="F17" s="56">
        <f t="shared" si="0"/>
        <v>9717.5930703784306</v>
      </c>
      <c r="H17" s="57" t="s">
        <v>40</v>
      </c>
      <c r="I17" s="58"/>
      <c r="J17" s="58">
        <f>SUM(J13:J16)</f>
        <v>47000</v>
      </c>
      <c r="K17" s="74">
        <f>SUM(K13:K16)</f>
        <v>37600</v>
      </c>
      <c r="L17" s="58">
        <f t="shared" si="8"/>
        <v>15040</v>
      </c>
      <c r="M17" s="58">
        <f t="shared" si="9"/>
        <v>22560</v>
      </c>
      <c r="O17" s="58" t="s">
        <v>34</v>
      </c>
      <c r="P17" s="58" t="s">
        <v>54</v>
      </c>
      <c r="Q17" s="58">
        <v>11000</v>
      </c>
      <c r="R17" s="58">
        <f t="shared" si="10"/>
        <v>8800</v>
      </c>
      <c r="S17" s="75">
        <f t="shared" si="11"/>
        <v>3520</v>
      </c>
      <c r="T17" s="75">
        <f t="shared" si="12"/>
        <v>5280</v>
      </c>
    </row>
    <row r="18" spans="1:20" ht="18.75" x14ac:dyDescent="0.25">
      <c r="A18" s="59" t="s">
        <v>58</v>
      </c>
      <c r="B18" s="60"/>
      <c r="C18" s="60"/>
      <c r="D18" s="60">
        <v>6880.0118710330698</v>
      </c>
      <c r="E18" s="60">
        <v>2155.0857142857099</v>
      </c>
      <c r="F18" s="56">
        <f t="shared" si="0"/>
        <v>9035.0975853187792</v>
      </c>
      <c r="O18" s="69"/>
      <c r="P18" s="69"/>
      <c r="Q18" s="69">
        <f>SUM(Q13:Q17)</f>
        <v>72000</v>
      </c>
      <c r="R18" s="70">
        <f>SUM(R13:R17)</f>
        <v>57600</v>
      </c>
      <c r="S18" s="76"/>
      <c r="T18" s="76"/>
    </row>
    <row r="19" spans="1:20" ht="18.75" x14ac:dyDescent="0.25">
      <c r="A19" s="59" t="s">
        <v>59</v>
      </c>
      <c r="B19" s="60"/>
      <c r="C19" s="60"/>
      <c r="D19" s="60">
        <v>5281.4241093286601</v>
      </c>
      <c r="E19" s="60">
        <v>3212.5257142857099</v>
      </c>
      <c r="F19" s="56">
        <f t="shared" si="0"/>
        <v>8493.94982361437</v>
      </c>
    </row>
    <row r="20" spans="1:20" ht="18.75" x14ac:dyDescent="0.25">
      <c r="A20" s="62" t="s">
        <v>61</v>
      </c>
      <c r="B20" s="60"/>
      <c r="C20" s="60"/>
      <c r="D20" s="60">
        <v>5678.1067572657303</v>
      </c>
      <c r="E20" s="60">
        <v>2015.04</v>
      </c>
      <c r="F20" s="56">
        <f t="shared" si="0"/>
        <v>7693.1467572657302</v>
      </c>
    </row>
    <row r="21" spans="1:20" ht="18.75" x14ac:dyDescent="0.15">
      <c r="A21" s="55" t="s">
        <v>62</v>
      </c>
      <c r="B21" s="56">
        <v>3356.9245384590999</v>
      </c>
      <c r="C21" s="56"/>
      <c r="D21" s="60">
        <v>3126</v>
      </c>
      <c r="E21" s="60">
        <v>723.54285714285697</v>
      </c>
      <c r="F21" s="56">
        <f t="shared" si="0"/>
        <v>7206.467395601956</v>
      </c>
      <c r="I21" s="75"/>
      <c r="J21" s="75" t="s">
        <v>63</v>
      </c>
      <c r="K21" s="75" t="s">
        <v>64</v>
      </c>
      <c r="O21" s="75"/>
      <c r="P21" s="75" t="s">
        <v>65</v>
      </c>
      <c r="Q21" s="75" t="s">
        <v>64</v>
      </c>
    </row>
    <row r="22" spans="1:20" ht="18.75" x14ac:dyDescent="0.25">
      <c r="A22" s="59" t="s">
        <v>66</v>
      </c>
      <c r="B22" s="60"/>
      <c r="C22" s="60"/>
      <c r="D22" s="60">
        <v>5341.5</v>
      </c>
      <c r="E22" s="60">
        <v>1861.0628571428599</v>
      </c>
      <c r="F22" s="56">
        <f t="shared" si="0"/>
        <v>7202.5628571428597</v>
      </c>
      <c r="I22" s="75" t="s">
        <v>67</v>
      </c>
      <c r="J22" s="75">
        <v>122000</v>
      </c>
      <c r="K22" s="75">
        <v>97600</v>
      </c>
      <c r="O22" s="75" t="s">
        <v>67</v>
      </c>
      <c r="P22" s="75">
        <v>47000</v>
      </c>
      <c r="Q22" s="75">
        <v>37600</v>
      </c>
    </row>
    <row r="23" spans="1:20" ht="18.75" x14ac:dyDescent="0.15">
      <c r="A23" s="55" t="s">
        <v>68</v>
      </c>
      <c r="B23" s="56">
        <v>7009.9445834256903</v>
      </c>
      <c r="C23" s="56"/>
      <c r="D23" s="56"/>
      <c r="E23" s="56"/>
      <c r="F23" s="56">
        <f t="shared" si="0"/>
        <v>7009.9445834256903</v>
      </c>
      <c r="I23" s="75" t="s">
        <v>69</v>
      </c>
      <c r="J23" s="75">
        <v>127000</v>
      </c>
      <c r="K23" s="75">
        <v>101600</v>
      </c>
      <c r="O23" s="75" t="s">
        <v>69</v>
      </c>
      <c r="P23" s="75">
        <v>72000</v>
      </c>
      <c r="Q23" s="75">
        <v>57600</v>
      </c>
    </row>
    <row r="24" spans="1:20" ht="18.75" x14ac:dyDescent="0.25">
      <c r="A24" s="62" t="s">
        <v>70</v>
      </c>
      <c r="B24" s="60"/>
      <c r="C24" s="60"/>
      <c r="D24" s="60">
        <v>4098.78708762515</v>
      </c>
      <c r="E24" s="60">
        <v>1917.9760000000001</v>
      </c>
      <c r="F24" s="56">
        <f t="shared" si="0"/>
        <v>6016.7630876251496</v>
      </c>
      <c r="I24" s="75" t="s">
        <v>40</v>
      </c>
      <c r="J24" s="75">
        <f>SUM(J22:J23)</f>
        <v>249000</v>
      </c>
      <c r="K24" s="75">
        <f>SUM(K22:K23)</f>
        <v>199200</v>
      </c>
      <c r="O24" s="75" t="s">
        <v>40</v>
      </c>
      <c r="P24" s="75">
        <f>SUM(P22:P23)</f>
        <v>119000</v>
      </c>
      <c r="Q24" s="77">
        <f>SUM(Q22:Q23)</f>
        <v>95200</v>
      </c>
    </row>
    <row r="25" spans="1:20" ht="18.75" x14ac:dyDescent="0.25">
      <c r="A25" s="59" t="s">
        <v>71</v>
      </c>
      <c r="B25" s="60"/>
      <c r="C25" s="60"/>
      <c r="D25" s="60">
        <v>3997.4496005453202</v>
      </c>
      <c r="E25" s="60">
        <v>1784.5257142857099</v>
      </c>
      <c r="F25" s="56">
        <f t="shared" si="0"/>
        <v>5781.9753148310301</v>
      </c>
    </row>
    <row r="26" spans="1:20" ht="18.75" x14ac:dyDescent="0.25">
      <c r="A26" s="62" t="s">
        <v>72</v>
      </c>
      <c r="B26" s="60"/>
      <c r="C26" s="60"/>
      <c r="D26" s="60">
        <v>3823.2401722732302</v>
      </c>
      <c r="E26" s="60">
        <v>1666.9839999999999</v>
      </c>
      <c r="F26" s="56">
        <f t="shared" si="0"/>
        <v>5490.2241722732306</v>
      </c>
    </row>
    <row r="27" spans="1:20" ht="18.75" x14ac:dyDescent="0.25">
      <c r="A27" s="59" t="s">
        <v>74</v>
      </c>
      <c r="B27" s="60"/>
      <c r="C27" s="60"/>
      <c r="D27" s="60">
        <v>4312.58690258552</v>
      </c>
      <c r="E27" s="60"/>
      <c r="F27" s="56">
        <f t="shared" si="0"/>
        <v>4312.58690258552</v>
      </c>
    </row>
    <row r="28" spans="1:20" ht="18.75" x14ac:dyDescent="0.25">
      <c r="A28" s="59" t="s">
        <v>75</v>
      </c>
      <c r="B28" s="60"/>
      <c r="C28" s="60"/>
      <c r="D28" s="60">
        <v>3995.0581008471199</v>
      </c>
      <c r="E28" s="60"/>
      <c r="F28" s="56">
        <f t="shared" si="0"/>
        <v>3995.0581008471199</v>
      </c>
    </row>
    <row r="29" spans="1:20" ht="18.75" x14ac:dyDescent="0.25">
      <c r="A29" s="59" t="s">
        <v>76</v>
      </c>
      <c r="B29" s="60"/>
      <c r="C29" s="60"/>
      <c r="D29" s="60">
        <v>3712.55927112171</v>
      </c>
      <c r="E29" s="60"/>
      <c r="F29" s="56">
        <f t="shared" si="0"/>
        <v>3712.55927112171</v>
      </c>
    </row>
    <row r="30" spans="1:20" ht="18.75" x14ac:dyDescent="0.15">
      <c r="A30" s="55" t="s">
        <v>77</v>
      </c>
      <c r="B30" s="56">
        <v>1395.76570061746</v>
      </c>
      <c r="C30" s="56">
        <v>912</v>
      </c>
      <c r="D30" s="60">
        <v>975.20348306573396</v>
      </c>
      <c r="E30" s="60">
        <v>361.771428571429</v>
      </c>
      <c r="F30" s="56">
        <f t="shared" si="0"/>
        <v>3644.7406122546231</v>
      </c>
    </row>
    <row r="31" spans="1:20" ht="18.75" x14ac:dyDescent="0.15">
      <c r="A31" s="55" t="s">
        <v>78</v>
      </c>
      <c r="B31" s="56">
        <v>1584.27074385844</v>
      </c>
      <c r="C31" s="56">
        <v>1672</v>
      </c>
      <c r="D31" s="56"/>
      <c r="E31" s="56"/>
      <c r="F31" s="56">
        <f t="shared" si="0"/>
        <v>3256.2707438584403</v>
      </c>
    </row>
    <row r="32" spans="1:20" ht="18.75" x14ac:dyDescent="0.15">
      <c r="A32" s="55" t="s">
        <v>79</v>
      </c>
      <c r="B32" s="56">
        <v>2986.6531555780698</v>
      </c>
      <c r="C32" s="56"/>
      <c r="D32" s="56"/>
      <c r="E32" s="56"/>
      <c r="F32" s="56">
        <f t="shared" si="0"/>
        <v>2986.6531555780698</v>
      </c>
    </row>
    <row r="33" spans="1:6" ht="18.75" x14ac:dyDescent="0.15">
      <c r="A33" s="55" t="s">
        <v>80</v>
      </c>
      <c r="B33" s="56">
        <v>1990.28194361128</v>
      </c>
      <c r="C33" s="56">
        <v>919.6</v>
      </c>
      <c r="D33" s="56"/>
      <c r="E33" s="56"/>
      <c r="F33" s="56">
        <f t="shared" si="0"/>
        <v>2909.8819436112799</v>
      </c>
    </row>
    <row r="34" spans="1:6" ht="18.75" x14ac:dyDescent="0.15">
      <c r="A34" s="55" t="s">
        <v>81</v>
      </c>
      <c r="B34" s="56">
        <v>2646.4777225371299</v>
      </c>
      <c r="C34" s="56"/>
      <c r="D34" s="56"/>
      <c r="E34" s="56"/>
      <c r="F34" s="56">
        <f t="shared" si="0"/>
        <v>2646.4777225371299</v>
      </c>
    </row>
    <row r="35" spans="1:6" ht="18.75" x14ac:dyDescent="0.15">
      <c r="A35" s="55" t="s">
        <v>82</v>
      </c>
      <c r="B35" s="56">
        <v>1395.76570061746</v>
      </c>
      <c r="C35" s="56">
        <v>912</v>
      </c>
      <c r="D35" s="56"/>
      <c r="E35" s="56"/>
      <c r="F35" s="56">
        <f t="shared" si="0"/>
        <v>2307.76570061746</v>
      </c>
    </row>
    <row r="36" spans="1:6" ht="18.75" x14ac:dyDescent="0.15">
      <c r="A36" s="63" t="s">
        <v>83</v>
      </c>
      <c r="B36" s="60"/>
      <c r="C36" s="60"/>
      <c r="D36" s="60">
        <v>1571</v>
      </c>
      <c r="E36" s="60">
        <v>406.17142857142898</v>
      </c>
      <c r="F36" s="56">
        <f t="shared" si="0"/>
        <v>1977.171428571429</v>
      </c>
    </row>
    <row r="37" spans="1:6" ht="18.75" x14ac:dyDescent="0.25">
      <c r="A37" s="59" t="s">
        <v>85</v>
      </c>
      <c r="B37" s="60"/>
      <c r="C37" s="60"/>
      <c r="D37" s="60">
        <v>1903.3986837807199</v>
      </c>
      <c r="E37" s="60"/>
      <c r="F37" s="56">
        <f t="shared" si="0"/>
        <v>1903.3986837807199</v>
      </c>
    </row>
    <row r="38" spans="1:6" ht="18.75" x14ac:dyDescent="0.25">
      <c r="A38" s="59" t="s">
        <v>86</v>
      </c>
      <c r="B38" s="60"/>
      <c r="C38" s="60"/>
      <c r="D38" s="60">
        <v>1859.6852387169699</v>
      </c>
      <c r="E38" s="60"/>
      <c r="F38" s="56">
        <f t="shared" si="0"/>
        <v>1859.6852387169699</v>
      </c>
    </row>
    <row r="39" spans="1:6" ht="18.75" x14ac:dyDescent="0.25">
      <c r="A39" s="59" t="s">
        <v>87</v>
      </c>
      <c r="B39" s="60"/>
      <c r="C39" s="60"/>
      <c r="D39" s="60">
        <v>1804.94291728703</v>
      </c>
      <c r="E39" s="60"/>
      <c r="F39" s="56">
        <f t="shared" si="0"/>
        <v>1804.94291728703</v>
      </c>
    </row>
    <row r="40" spans="1:6" ht="18.75" x14ac:dyDescent="0.25">
      <c r="A40" s="59" t="s">
        <v>88</v>
      </c>
      <c r="B40" s="60"/>
      <c r="C40" s="60"/>
      <c r="D40" s="60">
        <v>1579.6904011105801</v>
      </c>
      <c r="E40" s="60"/>
      <c r="F40" s="56">
        <f t="shared" si="0"/>
        <v>1579.6904011105801</v>
      </c>
    </row>
    <row r="41" spans="1:6" ht="18.75" x14ac:dyDescent="0.25">
      <c r="A41" s="59" t="s">
        <v>89</v>
      </c>
      <c r="B41" s="60"/>
      <c r="C41" s="60"/>
      <c r="D41" s="60">
        <v>975.20348306573396</v>
      </c>
      <c r="E41" s="60">
        <v>361.771428571429</v>
      </c>
      <c r="F41" s="56">
        <f t="shared" si="0"/>
        <v>1336.9749116371629</v>
      </c>
    </row>
    <row r="42" spans="1:6" ht="18.75" x14ac:dyDescent="0.25">
      <c r="A42" s="59" t="s">
        <v>90</v>
      </c>
      <c r="B42" s="60"/>
      <c r="C42" s="60"/>
      <c r="D42" s="60">
        <v>415.94866396340097</v>
      </c>
      <c r="E42" s="60"/>
      <c r="F42" s="56">
        <f t="shared" si="0"/>
        <v>415.94866396340097</v>
      </c>
    </row>
    <row r="43" spans="1:6" ht="18.75" x14ac:dyDescent="0.15">
      <c r="A43" s="63" t="s">
        <v>91</v>
      </c>
      <c r="B43" s="60"/>
      <c r="C43" s="60"/>
      <c r="D43" s="60">
        <v>415.94866396340097</v>
      </c>
      <c r="E43" s="60"/>
      <c r="F43" s="56">
        <f t="shared" si="0"/>
        <v>415.94866396340097</v>
      </c>
    </row>
    <row r="44" spans="1:6" x14ac:dyDescent="0.15">
      <c r="A44" s="64" t="s">
        <v>40</v>
      </c>
      <c r="B44" s="65">
        <f>SUM(B2:B43)</f>
        <v>101599.99999999997</v>
      </c>
      <c r="C44" s="65">
        <f>SUM(C2:C43)</f>
        <v>57600</v>
      </c>
      <c r="D44" s="65">
        <f>SUM(D2:D43)</f>
        <v>97599.696531407855</v>
      </c>
      <c r="E44" s="65">
        <f>SUM(E2:E43)</f>
        <v>37599.828571428538</v>
      </c>
      <c r="F44" s="65">
        <f>SUM(F2:F43)</f>
        <v>294399.52510283637</v>
      </c>
    </row>
  </sheetData>
  <sortState xmlns:xlrd2="http://schemas.microsoft.com/office/spreadsheetml/2017/richdata2" ref="A2:F43">
    <sortCondition descending="1" ref="F2"/>
  </sortState>
  <phoneticPr fontId="4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R26"/>
  <sheetViews>
    <sheetView workbookViewId="0">
      <selection activeCell="AM2" sqref="AM2:AR24"/>
    </sheetView>
  </sheetViews>
  <sheetFormatPr defaultColWidth="9" defaultRowHeight="13.5" x14ac:dyDescent="0.15"/>
  <sheetData>
    <row r="2" spans="1:44" ht="20.25" x14ac:dyDescent="0.25">
      <c r="A2" s="35" t="s">
        <v>129</v>
      </c>
      <c r="B2" s="36" t="s">
        <v>123</v>
      </c>
      <c r="C2" s="37" t="s">
        <v>25</v>
      </c>
      <c r="D2" s="37" t="s">
        <v>124</v>
      </c>
      <c r="E2" s="37"/>
      <c r="F2" s="37"/>
      <c r="G2" s="38" t="s">
        <v>95</v>
      </c>
      <c r="I2" s="35" t="s">
        <v>94</v>
      </c>
      <c r="J2" s="36" t="s">
        <v>123</v>
      </c>
      <c r="K2" s="37" t="s">
        <v>48</v>
      </c>
      <c r="L2" s="37" t="s">
        <v>124</v>
      </c>
      <c r="M2" s="37"/>
      <c r="N2" s="38" t="s">
        <v>95</v>
      </c>
      <c r="P2" s="35" t="s">
        <v>94</v>
      </c>
      <c r="Q2" s="36" t="s">
        <v>123</v>
      </c>
      <c r="R2" s="37" t="s">
        <v>42</v>
      </c>
      <c r="S2" s="37" t="s">
        <v>124</v>
      </c>
      <c r="T2" s="37"/>
      <c r="U2" s="38" t="s">
        <v>95</v>
      </c>
      <c r="W2" s="35" t="s">
        <v>94</v>
      </c>
      <c r="X2" s="36" t="s">
        <v>123</v>
      </c>
      <c r="Y2" s="37" t="s">
        <v>73</v>
      </c>
      <c r="Z2" s="37" t="s">
        <v>124</v>
      </c>
      <c r="AA2" s="37"/>
      <c r="AB2" s="37"/>
      <c r="AC2" s="38" t="s">
        <v>95</v>
      </c>
      <c r="AE2" s="35" t="s">
        <v>94</v>
      </c>
      <c r="AF2" s="36" t="s">
        <v>123</v>
      </c>
      <c r="AG2" s="37" t="s">
        <v>84</v>
      </c>
      <c r="AH2" s="37" t="s">
        <v>130</v>
      </c>
      <c r="AI2" s="37"/>
      <c r="AJ2" s="37"/>
      <c r="AK2" s="38" t="s">
        <v>95</v>
      </c>
      <c r="AM2" s="35" t="s">
        <v>94</v>
      </c>
      <c r="AN2" s="36" t="s">
        <v>123</v>
      </c>
      <c r="AO2" s="37" t="s">
        <v>60</v>
      </c>
      <c r="AP2" s="37" t="s">
        <v>130</v>
      </c>
      <c r="AQ2" s="37"/>
      <c r="AR2" s="38" t="s">
        <v>95</v>
      </c>
    </row>
    <row r="3" spans="1:44" ht="23.25" x14ac:dyDescent="0.3">
      <c r="A3" s="39" t="s">
        <v>109</v>
      </c>
      <c r="B3" s="40" t="s">
        <v>29</v>
      </c>
      <c r="C3" s="41">
        <v>102.84</v>
      </c>
      <c r="D3" s="42">
        <v>665.96825581395399</v>
      </c>
      <c r="E3" s="43"/>
      <c r="F3" s="43"/>
      <c r="G3" s="43">
        <v>1</v>
      </c>
      <c r="I3" s="39" t="s">
        <v>111</v>
      </c>
      <c r="J3" s="47" t="s">
        <v>49</v>
      </c>
      <c r="K3" s="41">
        <v>102.37</v>
      </c>
      <c r="L3" s="42">
        <v>609.19755813953498</v>
      </c>
      <c r="M3" s="43"/>
      <c r="N3" s="43">
        <v>1</v>
      </c>
      <c r="P3" s="48" t="s">
        <v>110</v>
      </c>
      <c r="Q3" s="48" t="s">
        <v>59</v>
      </c>
      <c r="R3" s="41">
        <v>102.92</v>
      </c>
      <c r="S3" s="42">
        <v>560.98442829457395</v>
      </c>
      <c r="T3" s="43"/>
      <c r="U3" s="43">
        <v>1</v>
      </c>
      <c r="W3" s="39" t="s">
        <v>109</v>
      </c>
      <c r="X3" s="47" t="s">
        <v>74</v>
      </c>
      <c r="Y3" s="41">
        <v>44.86</v>
      </c>
      <c r="Z3" s="42">
        <v>230.77767441860499</v>
      </c>
      <c r="AA3" s="43"/>
      <c r="AB3" s="43"/>
      <c r="AC3" s="43">
        <v>1</v>
      </c>
      <c r="AE3" s="16" t="s">
        <v>110</v>
      </c>
      <c r="AF3" s="50" t="s">
        <v>86</v>
      </c>
      <c r="AG3" s="41">
        <v>48.6</v>
      </c>
      <c r="AH3" s="42">
        <v>273.19201550387601</v>
      </c>
      <c r="AI3" s="43"/>
      <c r="AJ3" s="43"/>
      <c r="AK3" s="43">
        <v>1</v>
      </c>
      <c r="AM3" s="39" t="s">
        <v>111</v>
      </c>
      <c r="AN3" s="47" t="s">
        <v>70</v>
      </c>
      <c r="AO3" s="41">
        <v>74.099999999999994</v>
      </c>
      <c r="AP3" s="42">
        <v>440.04408914728702</v>
      </c>
      <c r="AQ3" s="43"/>
      <c r="AR3" s="43">
        <v>1</v>
      </c>
    </row>
    <row r="4" spans="1:44" ht="24" x14ac:dyDescent="0.35">
      <c r="A4" s="16" t="s">
        <v>110</v>
      </c>
      <c r="B4" s="40" t="s">
        <v>57</v>
      </c>
      <c r="C4" s="41">
        <v>100.81</v>
      </c>
      <c r="D4" s="42">
        <v>665.96825581395399</v>
      </c>
      <c r="E4" s="43"/>
      <c r="F4" s="43"/>
      <c r="G4" s="43">
        <v>2</v>
      </c>
      <c r="I4" s="16" t="s">
        <v>110</v>
      </c>
      <c r="J4" s="47" t="s">
        <v>66</v>
      </c>
      <c r="K4" s="41">
        <v>101.53</v>
      </c>
      <c r="L4" s="42">
        <v>609.19755813953498</v>
      </c>
      <c r="M4" s="43"/>
      <c r="N4" s="43">
        <v>2</v>
      </c>
      <c r="P4" s="49" t="s">
        <v>125</v>
      </c>
      <c r="Q4" s="48" t="s">
        <v>59</v>
      </c>
      <c r="R4" s="41">
        <v>98.85</v>
      </c>
      <c r="S4" s="42">
        <v>560.98442829457395</v>
      </c>
      <c r="T4" s="43"/>
      <c r="U4" s="43">
        <v>2</v>
      </c>
      <c r="W4" s="16" t="s">
        <v>110</v>
      </c>
      <c r="X4" s="47" t="s">
        <v>75</v>
      </c>
      <c r="Y4" s="41">
        <v>42.53</v>
      </c>
      <c r="Z4" s="42">
        <v>230.77767441860499</v>
      </c>
      <c r="AA4" s="43"/>
      <c r="AB4" s="43"/>
      <c r="AC4" s="43">
        <v>2</v>
      </c>
      <c r="AE4" s="39" t="s">
        <v>111</v>
      </c>
      <c r="AF4" s="50" t="s">
        <v>85</v>
      </c>
      <c r="AG4" s="41">
        <v>47</v>
      </c>
      <c r="AH4" s="42">
        <v>273.19201550387601</v>
      </c>
      <c r="AI4" s="43"/>
      <c r="AJ4" s="43"/>
      <c r="AK4" s="43">
        <v>2</v>
      </c>
      <c r="AM4" s="39" t="s">
        <v>109</v>
      </c>
      <c r="AN4" s="47" t="s">
        <v>70</v>
      </c>
      <c r="AO4" s="41">
        <v>72.88</v>
      </c>
      <c r="AP4" s="42">
        <v>440.04408914728702</v>
      </c>
      <c r="AQ4" s="43"/>
      <c r="AR4" s="43">
        <v>2</v>
      </c>
    </row>
    <row r="5" spans="1:44" ht="24" x14ac:dyDescent="0.35">
      <c r="A5" s="39" t="s">
        <v>111</v>
      </c>
      <c r="B5" s="40" t="s">
        <v>44</v>
      </c>
      <c r="C5" s="41">
        <v>99.39</v>
      </c>
      <c r="D5" s="42">
        <v>665.96825581395399</v>
      </c>
      <c r="E5" s="43"/>
      <c r="F5" s="43"/>
      <c r="G5" s="43">
        <v>3</v>
      </c>
      <c r="I5" s="39" t="s">
        <v>109</v>
      </c>
      <c r="J5" s="47" t="s">
        <v>58</v>
      </c>
      <c r="K5" s="41">
        <v>98.65</v>
      </c>
      <c r="L5" s="42">
        <v>609.19755813953498</v>
      </c>
      <c r="M5" s="43"/>
      <c r="N5" s="43">
        <v>3</v>
      </c>
      <c r="P5" s="49" t="s">
        <v>126</v>
      </c>
      <c r="Q5" s="48" t="s">
        <v>55</v>
      </c>
      <c r="R5" s="41">
        <v>96.98</v>
      </c>
      <c r="S5" s="42">
        <v>560.98442829457395</v>
      </c>
      <c r="T5" s="43"/>
      <c r="U5" s="43">
        <v>3</v>
      </c>
      <c r="W5" s="39" t="s">
        <v>111</v>
      </c>
      <c r="X5" s="47" t="s">
        <v>74</v>
      </c>
      <c r="Y5" s="41">
        <v>42.06</v>
      </c>
      <c r="Z5" s="42">
        <v>230.77767441860499</v>
      </c>
      <c r="AA5" s="43"/>
      <c r="AB5" s="43"/>
      <c r="AC5" s="43">
        <v>3</v>
      </c>
      <c r="AE5" s="39" t="s">
        <v>109</v>
      </c>
      <c r="AF5" s="50" t="s">
        <v>87</v>
      </c>
      <c r="AG5" s="41">
        <v>44.98</v>
      </c>
      <c r="AH5" s="42">
        <v>273.19201550387601</v>
      </c>
      <c r="AI5" s="43"/>
      <c r="AJ5" s="43"/>
      <c r="AK5" s="43">
        <v>3</v>
      </c>
      <c r="AM5" s="16" t="s">
        <v>110</v>
      </c>
      <c r="AN5" s="47" t="s">
        <v>61</v>
      </c>
      <c r="AO5" s="41">
        <v>68.98</v>
      </c>
      <c r="AP5" s="42">
        <v>440.04408914728702</v>
      </c>
      <c r="AQ5" s="43"/>
      <c r="AR5" s="43">
        <v>3</v>
      </c>
    </row>
    <row r="6" spans="1:44" ht="24" x14ac:dyDescent="0.35">
      <c r="A6" s="39" t="s">
        <v>112</v>
      </c>
      <c r="B6" s="40" t="s">
        <v>29</v>
      </c>
      <c r="C6" s="41">
        <v>92.79</v>
      </c>
      <c r="D6" s="42">
        <v>665.96825581395399</v>
      </c>
      <c r="E6" s="43"/>
      <c r="F6" s="43"/>
      <c r="G6" s="43">
        <v>4</v>
      </c>
      <c r="I6" s="39" t="s">
        <v>112</v>
      </c>
      <c r="J6" s="47" t="s">
        <v>49</v>
      </c>
      <c r="K6" s="41">
        <v>81.17</v>
      </c>
      <c r="L6" s="42">
        <v>609.19755813953498</v>
      </c>
      <c r="M6" s="43"/>
      <c r="N6" s="43">
        <v>4</v>
      </c>
      <c r="P6" s="49" t="s">
        <v>127</v>
      </c>
      <c r="Q6" s="48" t="s">
        <v>51</v>
      </c>
      <c r="R6" s="44">
        <v>74.9479166666667</v>
      </c>
      <c r="S6" s="42">
        <v>560.98442829457395</v>
      </c>
      <c r="T6" s="43"/>
      <c r="U6" s="43">
        <v>4</v>
      </c>
      <c r="W6" s="16" t="s">
        <v>115</v>
      </c>
      <c r="X6" s="47" t="s">
        <v>76</v>
      </c>
      <c r="Y6" s="41">
        <v>27.04</v>
      </c>
      <c r="Z6" s="42">
        <v>230.77767441860499</v>
      </c>
      <c r="AA6" s="43"/>
      <c r="AB6" s="43"/>
      <c r="AC6" s="43">
        <v>4</v>
      </c>
      <c r="AE6" s="39" t="s">
        <v>112</v>
      </c>
      <c r="AF6" s="50" t="s">
        <v>85</v>
      </c>
      <c r="AG6" s="41">
        <v>36.380000000000003</v>
      </c>
      <c r="AH6" s="42">
        <v>273.19201550387601</v>
      </c>
      <c r="AI6" s="43"/>
      <c r="AJ6" s="43"/>
      <c r="AK6" s="43">
        <v>4</v>
      </c>
      <c r="AM6" s="39" t="s">
        <v>113</v>
      </c>
      <c r="AN6" s="47" t="s">
        <v>72</v>
      </c>
      <c r="AO6" s="44">
        <v>58.0208333333333</v>
      </c>
      <c r="AP6" s="42">
        <v>440.04408914728702</v>
      </c>
      <c r="AQ6" s="43"/>
      <c r="AR6" s="43">
        <v>4</v>
      </c>
    </row>
    <row r="7" spans="1:44" ht="24" x14ac:dyDescent="0.35">
      <c r="A7" s="39" t="s">
        <v>113</v>
      </c>
      <c r="B7" s="40" t="s">
        <v>41</v>
      </c>
      <c r="C7" s="44">
        <v>90.875</v>
      </c>
      <c r="D7" s="42">
        <v>665.96825581395399</v>
      </c>
      <c r="E7" s="42"/>
      <c r="F7" s="42"/>
      <c r="G7" s="43">
        <v>5</v>
      </c>
      <c r="I7" s="39" t="s">
        <v>113</v>
      </c>
      <c r="J7" s="47" t="s">
        <v>58</v>
      </c>
      <c r="K7" s="44">
        <v>76.375</v>
      </c>
      <c r="L7" s="42">
        <v>609.19755813953498</v>
      </c>
      <c r="M7" s="43"/>
      <c r="N7" s="43">
        <v>5</v>
      </c>
      <c r="P7" s="49" t="s">
        <v>128</v>
      </c>
      <c r="Q7" s="48" t="s">
        <v>71</v>
      </c>
      <c r="R7" s="41">
        <v>63.74</v>
      </c>
      <c r="S7" s="42">
        <v>560.98442829457395</v>
      </c>
      <c r="T7" s="43"/>
      <c r="U7" s="43">
        <v>5</v>
      </c>
      <c r="W7" s="39" t="s">
        <v>113</v>
      </c>
      <c r="X7" s="47" t="s">
        <v>75</v>
      </c>
      <c r="Y7" s="44">
        <v>26.5</v>
      </c>
      <c r="Z7" s="42">
        <v>230.77767441860499</v>
      </c>
      <c r="AA7" s="43"/>
      <c r="AB7" s="43"/>
      <c r="AC7" s="43">
        <v>5</v>
      </c>
      <c r="AE7" s="39" t="s">
        <v>113</v>
      </c>
      <c r="AF7" s="50" t="s">
        <v>90</v>
      </c>
      <c r="AG7" s="44">
        <v>33.1666666666667</v>
      </c>
      <c r="AH7" s="42">
        <v>273.19201550387601</v>
      </c>
      <c r="AI7" s="43"/>
      <c r="AJ7" s="43"/>
      <c r="AK7" s="43">
        <v>5</v>
      </c>
      <c r="AM7" s="16" t="s">
        <v>115</v>
      </c>
      <c r="AN7" s="47" t="s">
        <v>61</v>
      </c>
      <c r="AO7" s="41">
        <v>57.47</v>
      </c>
      <c r="AP7" s="42">
        <v>440.04408914728702</v>
      </c>
      <c r="AQ7" s="43"/>
      <c r="AR7" s="43">
        <v>5</v>
      </c>
    </row>
    <row r="8" spans="1:44" ht="23.25" x14ac:dyDescent="0.3">
      <c r="A8" s="16" t="s">
        <v>114</v>
      </c>
      <c r="B8" s="40" t="s">
        <v>32</v>
      </c>
      <c r="C8" s="44">
        <v>90.023255813953497</v>
      </c>
      <c r="D8" s="42">
        <v>665.96825581395399</v>
      </c>
      <c r="E8" s="42"/>
      <c r="F8" s="42"/>
      <c r="G8" s="43">
        <v>6</v>
      </c>
      <c r="I8" s="16" t="s">
        <v>115</v>
      </c>
      <c r="J8" s="47" t="s">
        <v>66</v>
      </c>
      <c r="K8" s="41">
        <v>74.87</v>
      </c>
      <c r="L8" s="42">
        <v>609.19755813953498</v>
      </c>
      <c r="M8" s="43"/>
      <c r="N8" s="43">
        <v>6</v>
      </c>
      <c r="P8" s="48" t="s">
        <v>115</v>
      </c>
      <c r="Q8" s="48" t="s">
        <v>71</v>
      </c>
      <c r="R8" s="41">
        <v>63</v>
      </c>
      <c r="S8" s="42">
        <v>560.98442829457395</v>
      </c>
      <c r="T8" s="43"/>
      <c r="U8" s="43">
        <v>6</v>
      </c>
      <c r="W8" s="39" t="s">
        <v>112</v>
      </c>
      <c r="X8" s="47" t="s">
        <v>76</v>
      </c>
      <c r="Y8" s="41">
        <v>25.09</v>
      </c>
      <c r="Z8" s="42">
        <v>230.77767441860499</v>
      </c>
      <c r="AA8" s="43"/>
      <c r="AB8" s="43"/>
      <c r="AC8" s="43">
        <v>6</v>
      </c>
      <c r="AE8" s="16" t="s">
        <v>115</v>
      </c>
      <c r="AF8" s="50" t="s">
        <v>86</v>
      </c>
      <c r="AG8" s="41">
        <v>31.67</v>
      </c>
      <c r="AH8" s="42">
        <v>273.19201550387601</v>
      </c>
      <c r="AI8" s="43"/>
      <c r="AJ8" s="43"/>
      <c r="AK8" s="43">
        <v>6</v>
      </c>
      <c r="AM8" s="39" t="s">
        <v>112</v>
      </c>
      <c r="AN8" s="47" t="s">
        <v>72</v>
      </c>
      <c r="AO8" s="41">
        <v>54.57</v>
      </c>
      <c r="AP8" s="42">
        <v>440.04408914728702</v>
      </c>
      <c r="AQ8" s="43"/>
      <c r="AR8" s="43">
        <v>6</v>
      </c>
    </row>
    <row r="9" spans="1:44" ht="22.5" x14ac:dyDescent="0.25">
      <c r="A9" s="16" t="s">
        <v>115</v>
      </c>
      <c r="B9" s="40" t="s">
        <v>44</v>
      </c>
      <c r="C9" s="41">
        <v>89.24</v>
      </c>
      <c r="D9" s="42">
        <v>665.96825581395399</v>
      </c>
      <c r="E9" s="43"/>
      <c r="F9" s="43"/>
      <c r="G9" s="43">
        <v>7</v>
      </c>
      <c r="I9" s="16" t="s">
        <v>114</v>
      </c>
      <c r="J9" s="47" t="s">
        <v>62</v>
      </c>
      <c r="K9" s="44">
        <v>74.232558139534902</v>
      </c>
      <c r="L9" s="42">
        <v>609.19755813953498</v>
      </c>
      <c r="M9" s="43"/>
      <c r="N9" s="43">
        <v>7</v>
      </c>
      <c r="P9" s="48" t="s">
        <v>114</v>
      </c>
      <c r="Q9" s="48" t="s">
        <v>89</v>
      </c>
      <c r="R9" s="44">
        <v>60.546511627907002</v>
      </c>
      <c r="S9" s="42">
        <v>560.98442829457395</v>
      </c>
      <c r="T9" s="43"/>
      <c r="U9" s="43">
        <v>7</v>
      </c>
      <c r="W9" s="16" t="s">
        <v>114</v>
      </c>
      <c r="X9" s="47" t="s">
        <v>88</v>
      </c>
      <c r="Y9" s="44">
        <v>22.697674418604699</v>
      </c>
      <c r="Z9" s="42">
        <v>230.77767441860499</v>
      </c>
      <c r="AA9" s="43"/>
      <c r="AB9" s="43"/>
      <c r="AC9" s="43">
        <v>7</v>
      </c>
      <c r="AE9" s="16" t="s">
        <v>114</v>
      </c>
      <c r="AF9" s="50" t="s">
        <v>87</v>
      </c>
      <c r="AG9" s="44">
        <v>31.395348837209301</v>
      </c>
      <c r="AH9" s="42">
        <v>273.19201550387601</v>
      </c>
      <c r="AI9" s="43"/>
      <c r="AJ9" s="43"/>
      <c r="AK9" s="43">
        <v>7</v>
      </c>
      <c r="AM9" s="16" t="s">
        <v>114</v>
      </c>
      <c r="AN9" s="47" t="s">
        <v>61</v>
      </c>
      <c r="AO9" s="44">
        <v>54.023255813953497</v>
      </c>
      <c r="AP9" s="42">
        <v>440.04408914728702</v>
      </c>
      <c r="AQ9" s="43"/>
      <c r="AR9" s="43">
        <v>7</v>
      </c>
    </row>
    <row r="10" spans="1:44" x14ac:dyDescent="0.2">
      <c r="I10" s="45"/>
      <c r="J10" s="45"/>
      <c r="K10" s="46"/>
      <c r="L10" s="45"/>
      <c r="M10" s="45"/>
      <c r="N10" s="45"/>
      <c r="P10" s="45"/>
      <c r="Q10" s="45"/>
      <c r="R10" s="46"/>
      <c r="S10" s="45"/>
      <c r="T10" s="45"/>
      <c r="U10" s="45"/>
      <c r="W10" s="45"/>
      <c r="X10" s="45"/>
      <c r="Y10" s="46"/>
      <c r="Z10" s="45"/>
      <c r="AA10" s="45"/>
      <c r="AB10" s="45"/>
      <c r="AC10" s="45"/>
      <c r="AE10" s="45"/>
      <c r="AF10" s="45"/>
      <c r="AG10" s="45"/>
      <c r="AH10" s="46"/>
      <c r="AI10" s="45"/>
      <c r="AJ10" s="45"/>
      <c r="AK10" s="45"/>
      <c r="AM10" s="45"/>
      <c r="AN10" s="45"/>
      <c r="AO10" s="45"/>
      <c r="AP10" s="46"/>
      <c r="AQ10" s="45"/>
      <c r="AR10" s="45"/>
    </row>
    <row r="11" spans="1:44" x14ac:dyDescent="0.2">
      <c r="I11" s="45"/>
      <c r="J11" s="45"/>
      <c r="K11" s="45"/>
      <c r="L11" s="45"/>
      <c r="M11" s="45"/>
      <c r="N11" s="45"/>
      <c r="P11" s="45"/>
      <c r="Q11" s="45"/>
      <c r="R11" s="45"/>
      <c r="S11" s="45"/>
      <c r="T11" s="45"/>
      <c r="U11" s="45"/>
      <c r="W11" s="45"/>
      <c r="X11" s="45"/>
      <c r="Y11" s="45"/>
      <c r="Z11" s="45"/>
      <c r="AA11" s="45"/>
      <c r="AB11" s="45"/>
      <c r="AC11" s="45"/>
      <c r="AE11" s="45"/>
      <c r="AF11" s="45"/>
      <c r="AG11" s="45"/>
      <c r="AH11" s="45"/>
      <c r="AI11" s="45"/>
      <c r="AJ11" s="45"/>
      <c r="AK11" s="45"/>
      <c r="AM11" s="45"/>
      <c r="AN11" s="45"/>
      <c r="AO11" s="45"/>
      <c r="AP11" s="45"/>
      <c r="AQ11" s="45"/>
      <c r="AR11" s="45"/>
    </row>
    <row r="12" spans="1:44" x14ac:dyDescent="0.2">
      <c r="I12" s="45"/>
      <c r="J12" s="45"/>
      <c r="K12" s="45"/>
      <c r="L12" s="45"/>
      <c r="M12" s="45"/>
      <c r="N12" s="45"/>
      <c r="P12" s="45"/>
      <c r="Q12" s="45"/>
      <c r="R12" s="45"/>
      <c r="S12" s="45"/>
      <c r="T12" s="45"/>
      <c r="U12" s="45"/>
      <c r="W12" s="45"/>
      <c r="X12" s="45"/>
      <c r="Y12" s="45"/>
      <c r="Z12" s="45"/>
      <c r="AA12" s="45"/>
      <c r="AB12" s="45"/>
      <c r="AC12" s="45"/>
      <c r="AE12" s="45"/>
      <c r="AF12" s="45"/>
      <c r="AG12" s="45"/>
      <c r="AH12" s="45"/>
      <c r="AI12" s="45"/>
      <c r="AJ12" s="45"/>
      <c r="AK12" s="45"/>
      <c r="AM12" s="45"/>
      <c r="AN12" s="45"/>
      <c r="AO12" s="45"/>
      <c r="AP12" s="45"/>
      <c r="AQ12" s="45"/>
      <c r="AR12" s="45"/>
    </row>
    <row r="13" spans="1:44" x14ac:dyDescent="0.2">
      <c r="I13" s="45"/>
      <c r="J13" s="45"/>
      <c r="K13" s="45"/>
      <c r="L13" s="45"/>
      <c r="M13" s="45"/>
      <c r="N13" s="45"/>
      <c r="P13" s="45"/>
      <c r="Q13" s="45"/>
      <c r="R13" s="45"/>
      <c r="S13" s="45"/>
      <c r="T13" s="45"/>
      <c r="U13" s="45"/>
      <c r="W13" s="45"/>
      <c r="X13" s="45"/>
      <c r="Y13" s="45"/>
      <c r="Z13" s="45"/>
      <c r="AA13" s="45"/>
      <c r="AB13" s="45"/>
      <c r="AC13" s="45"/>
      <c r="AE13" s="45"/>
      <c r="AF13" s="45"/>
      <c r="AG13" s="45"/>
      <c r="AH13" s="45"/>
      <c r="AI13" s="45"/>
      <c r="AJ13" s="45"/>
      <c r="AK13" s="45"/>
      <c r="AM13" s="45"/>
      <c r="AN13" s="45"/>
      <c r="AO13" s="45"/>
      <c r="AP13" s="45"/>
      <c r="AQ13" s="45"/>
      <c r="AR13" s="45"/>
    </row>
    <row r="14" spans="1:44" x14ac:dyDescent="0.2">
      <c r="I14" s="45"/>
      <c r="J14" s="45"/>
      <c r="K14" s="45"/>
      <c r="L14" s="45"/>
      <c r="M14" s="45"/>
      <c r="N14" s="45"/>
      <c r="P14" s="45"/>
      <c r="Q14" s="45"/>
      <c r="R14" s="45"/>
      <c r="S14" s="45"/>
      <c r="T14" s="45"/>
      <c r="U14" s="45"/>
      <c r="W14" s="45"/>
      <c r="X14" s="45"/>
      <c r="Y14" s="45"/>
      <c r="Z14" s="45"/>
      <c r="AA14" s="45"/>
      <c r="AB14" s="45"/>
      <c r="AC14" s="45"/>
      <c r="AE14" s="45"/>
      <c r="AF14" s="45"/>
      <c r="AG14" s="45"/>
      <c r="AH14" s="45"/>
      <c r="AI14" s="45"/>
      <c r="AJ14" s="45"/>
      <c r="AK14" s="45"/>
      <c r="AM14" s="45"/>
      <c r="AN14" s="45"/>
      <c r="AO14" s="45"/>
      <c r="AP14" s="45"/>
      <c r="AQ14" s="45"/>
      <c r="AR14" s="45"/>
    </row>
    <row r="15" spans="1:44" x14ac:dyDescent="0.2">
      <c r="I15" s="45"/>
      <c r="J15" s="45"/>
      <c r="K15" s="45"/>
      <c r="L15" s="45"/>
      <c r="M15" s="45"/>
      <c r="N15" s="45"/>
      <c r="P15" s="45"/>
      <c r="Q15" s="45"/>
      <c r="R15" s="45"/>
      <c r="S15" s="45"/>
      <c r="T15" s="45"/>
      <c r="U15" s="45"/>
      <c r="W15" s="45"/>
      <c r="X15" s="45"/>
      <c r="Y15" s="45"/>
      <c r="Z15" s="45"/>
      <c r="AA15" s="45"/>
      <c r="AB15" s="45"/>
      <c r="AC15" s="45"/>
      <c r="AE15" s="45"/>
      <c r="AF15" s="45"/>
      <c r="AG15" s="45"/>
      <c r="AH15" s="45"/>
      <c r="AI15" s="45"/>
      <c r="AJ15" s="45"/>
      <c r="AK15" s="45"/>
      <c r="AM15" s="45"/>
      <c r="AN15" s="45"/>
      <c r="AO15" s="45"/>
      <c r="AP15" s="45"/>
      <c r="AQ15" s="45"/>
      <c r="AR15" s="45"/>
    </row>
    <row r="16" spans="1:44" ht="20.25" x14ac:dyDescent="0.25">
      <c r="A16" s="35" t="s">
        <v>129</v>
      </c>
      <c r="B16" s="36" t="s">
        <v>123</v>
      </c>
      <c r="C16" s="37" t="s">
        <v>25</v>
      </c>
      <c r="D16" s="37" t="s">
        <v>103</v>
      </c>
      <c r="E16" s="37"/>
      <c r="F16" s="37"/>
      <c r="G16" s="38" t="s">
        <v>95</v>
      </c>
      <c r="I16" s="45"/>
      <c r="J16" s="45"/>
      <c r="K16" s="45"/>
      <c r="L16" s="45"/>
      <c r="M16" s="45"/>
      <c r="N16" s="45"/>
      <c r="P16" s="45"/>
      <c r="Q16" s="45"/>
      <c r="R16" s="45"/>
      <c r="S16" s="45"/>
      <c r="T16" s="45"/>
      <c r="U16" s="45"/>
      <c r="W16" s="36" t="s">
        <v>123</v>
      </c>
      <c r="X16" s="37" t="s">
        <v>73</v>
      </c>
      <c r="Y16" s="37" t="s">
        <v>103</v>
      </c>
      <c r="Z16" s="37"/>
      <c r="AA16" s="37"/>
      <c r="AB16" s="38" t="s">
        <v>95</v>
      </c>
      <c r="AC16" s="51"/>
      <c r="AE16" s="35" t="s">
        <v>94</v>
      </c>
      <c r="AF16" s="36" t="s">
        <v>123</v>
      </c>
      <c r="AG16" s="37" t="s">
        <v>84</v>
      </c>
      <c r="AH16" s="37" t="s">
        <v>103</v>
      </c>
      <c r="AI16" s="37"/>
      <c r="AJ16" s="37"/>
      <c r="AK16" s="38" t="s">
        <v>95</v>
      </c>
      <c r="AM16" s="35" t="s">
        <v>94</v>
      </c>
      <c r="AN16" s="36" t="s">
        <v>123</v>
      </c>
      <c r="AO16" s="37" t="s">
        <v>60</v>
      </c>
      <c r="AP16" s="37" t="s">
        <v>103</v>
      </c>
      <c r="AQ16" s="37"/>
      <c r="AR16" s="38" t="s">
        <v>95</v>
      </c>
    </row>
    <row r="17" spans="1:44" ht="21" x14ac:dyDescent="0.3">
      <c r="A17" s="39" t="s">
        <v>109</v>
      </c>
      <c r="B17" s="40" t="s">
        <v>29</v>
      </c>
      <c r="C17" s="41">
        <v>102.84</v>
      </c>
      <c r="D17" s="42">
        <f t="shared" ref="D17:D23" si="0">C17/95.14</f>
        <v>1.0809333613622032</v>
      </c>
      <c r="E17" s="43"/>
      <c r="F17" s="43"/>
      <c r="G17" s="43">
        <v>1</v>
      </c>
      <c r="I17" s="45"/>
      <c r="J17" s="45"/>
      <c r="K17" s="45"/>
      <c r="L17" s="45"/>
      <c r="M17" s="45"/>
      <c r="N17" s="45"/>
      <c r="P17" s="45"/>
      <c r="Q17" s="45"/>
      <c r="R17" s="45"/>
      <c r="S17" s="45"/>
      <c r="T17" s="45"/>
      <c r="U17" s="45"/>
      <c r="W17" s="47" t="s">
        <v>74</v>
      </c>
      <c r="X17" s="41">
        <v>44.86</v>
      </c>
      <c r="Y17" s="42">
        <f>X17/X24</f>
        <v>1.3607035463508619</v>
      </c>
      <c r="Z17" s="43"/>
      <c r="AA17" s="43"/>
      <c r="AB17" s="43">
        <v>1</v>
      </c>
      <c r="AC17" s="52"/>
      <c r="AE17" s="16" t="s">
        <v>110</v>
      </c>
      <c r="AF17" s="50" t="s">
        <v>86</v>
      </c>
      <c r="AG17" s="41">
        <v>48.6</v>
      </c>
      <c r="AH17" s="42">
        <f t="shared" ref="AH17:AH23" si="1">AG17/39.03</f>
        <v>1.2451960030745581</v>
      </c>
      <c r="AI17" s="43"/>
      <c r="AJ17" s="43"/>
      <c r="AK17" s="43">
        <v>1</v>
      </c>
      <c r="AM17" s="39" t="s">
        <v>111</v>
      </c>
      <c r="AN17" s="47" t="s">
        <v>70</v>
      </c>
      <c r="AO17" s="41">
        <v>74.099999999999994</v>
      </c>
      <c r="AP17" s="42">
        <f t="shared" ref="AP17:AP23" si="2">AO17/62.86</f>
        <v>1.1788100540884505</v>
      </c>
      <c r="AQ17" s="43"/>
      <c r="AR17" s="43">
        <v>1</v>
      </c>
    </row>
    <row r="18" spans="1:44" ht="21" x14ac:dyDescent="0.3">
      <c r="A18" s="16" t="s">
        <v>110</v>
      </c>
      <c r="B18" s="40" t="s">
        <v>57</v>
      </c>
      <c r="C18" s="41">
        <v>100.81</v>
      </c>
      <c r="D18" s="42">
        <f t="shared" si="0"/>
        <v>1.059596384275804</v>
      </c>
      <c r="E18" s="43"/>
      <c r="F18" s="43"/>
      <c r="G18" s="43">
        <v>2</v>
      </c>
      <c r="I18" s="35" t="s">
        <v>94</v>
      </c>
      <c r="J18" s="36" t="s">
        <v>123</v>
      </c>
      <c r="K18" s="37" t="s">
        <v>48</v>
      </c>
      <c r="L18" s="37" t="s">
        <v>103</v>
      </c>
      <c r="M18" s="37"/>
      <c r="N18" s="38" t="s">
        <v>95</v>
      </c>
      <c r="P18" s="35" t="s">
        <v>94</v>
      </c>
      <c r="Q18" s="36" t="s">
        <v>123</v>
      </c>
      <c r="R18" s="37" t="s">
        <v>42</v>
      </c>
      <c r="S18" s="37" t="s">
        <v>103</v>
      </c>
      <c r="T18" s="37"/>
      <c r="U18" s="38" t="s">
        <v>95</v>
      </c>
      <c r="W18" s="47" t="s">
        <v>75</v>
      </c>
      <c r="X18" s="41">
        <v>42.53</v>
      </c>
      <c r="Y18" s="42">
        <f t="shared" ref="Y18:Y23" si="3">X18/32.97</f>
        <v>1.2899605702153474</v>
      </c>
      <c r="Z18" s="43"/>
      <c r="AA18" s="43"/>
      <c r="AB18" s="43">
        <v>2</v>
      </c>
      <c r="AC18" s="52"/>
      <c r="AE18" s="39" t="s">
        <v>111</v>
      </c>
      <c r="AF18" s="50" t="s">
        <v>85</v>
      </c>
      <c r="AG18" s="41">
        <v>47</v>
      </c>
      <c r="AH18" s="42">
        <f t="shared" si="1"/>
        <v>1.2042018959774532</v>
      </c>
      <c r="AI18" s="43"/>
      <c r="AJ18" s="43"/>
      <c r="AK18" s="43">
        <v>2</v>
      </c>
      <c r="AM18" s="39" t="s">
        <v>109</v>
      </c>
      <c r="AN18" s="47" t="s">
        <v>70</v>
      </c>
      <c r="AO18" s="41">
        <v>72.88</v>
      </c>
      <c r="AP18" s="42">
        <f t="shared" si="2"/>
        <v>1.1594018453706649</v>
      </c>
      <c r="AQ18" s="43"/>
      <c r="AR18" s="43">
        <v>2</v>
      </c>
    </row>
    <row r="19" spans="1:44" ht="23.25" x14ac:dyDescent="0.3">
      <c r="A19" s="39" t="s">
        <v>111</v>
      </c>
      <c r="B19" s="40" t="s">
        <v>44</v>
      </c>
      <c r="C19" s="41">
        <v>99.39</v>
      </c>
      <c r="D19" s="42">
        <f t="shared" si="0"/>
        <v>1.0446710111414756</v>
      </c>
      <c r="E19" s="43"/>
      <c r="F19" s="43"/>
      <c r="G19" s="43">
        <v>3</v>
      </c>
      <c r="I19" s="39" t="s">
        <v>111</v>
      </c>
      <c r="J19" s="47" t="s">
        <v>49</v>
      </c>
      <c r="K19" s="41">
        <v>102.37</v>
      </c>
      <c r="L19" s="42">
        <f t="shared" ref="L19:L25" si="4">K19/87.03</f>
        <v>1.1762610594048031</v>
      </c>
      <c r="M19" s="43"/>
      <c r="N19" s="43">
        <v>1</v>
      </c>
      <c r="P19" s="48" t="s">
        <v>110</v>
      </c>
      <c r="Q19" s="48" t="s">
        <v>59</v>
      </c>
      <c r="R19" s="41">
        <v>102.92</v>
      </c>
      <c r="S19" s="42">
        <f t="shared" ref="S19:S25" si="5">R19/80.14</f>
        <v>1.2842525580234589</v>
      </c>
      <c r="T19" s="43"/>
      <c r="U19" s="43">
        <v>1</v>
      </c>
      <c r="W19" s="47" t="s">
        <v>74</v>
      </c>
      <c r="X19" s="41">
        <v>42.06</v>
      </c>
      <c r="Y19" s="42">
        <f t="shared" si="3"/>
        <v>1.2757051865332121</v>
      </c>
      <c r="Z19" s="43"/>
      <c r="AA19" s="43"/>
      <c r="AB19" s="43">
        <v>3</v>
      </c>
      <c r="AC19" s="52"/>
      <c r="AE19" s="39" t="s">
        <v>109</v>
      </c>
      <c r="AF19" s="50" t="s">
        <v>87</v>
      </c>
      <c r="AG19" s="41">
        <v>44.98</v>
      </c>
      <c r="AH19" s="42">
        <f t="shared" si="1"/>
        <v>1.1524468357673583</v>
      </c>
      <c r="AI19" s="43"/>
      <c r="AJ19" s="43"/>
      <c r="AK19" s="43">
        <v>3</v>
      </c>
      <c r="AM19" s="16" t="s">
        <v>110</v>
      </c>
      <c r="AN19" s="47" t="s">
        <v>61</v>
      </c>
      <c r="AO19" s="41">
        <v>68.98</v>
      </c>
      <c r="AP19" s="42">
        <f t="shared" si="2"/>
        <v>1.097359210944957</v>
      </c>
      <c r="AQ19" s="43"/>
      <c r="AR19" s="43">
        <v>3</v>
      </c>
    </row>
    <row r="20" spans="1:44" ht="24" x14ac:dyDescent="0.35">
      <c r="A20" s="39" t="s">
        <v>112</v>
      </c>
      <c r="B20" s="40" t="s">
        <v>29</v>
      </c>
      <c r="C20" s="41">
        <v>92.79</v>
      </c>
      <c r="D20" s="42">
        <f t="shared" si="0"/>
        <v>0.9752995585453017</v>
      </c>
      <c r="E20" s="43"/>
      <c r="F20" s="43"/>
      <c r="G20" s="43">
        <v>4</v>
      </c>
      <c r="I20" s="16" t="s">
        <v>110</v>
      </c>
      <c r="J20" s="47" t="s">
        <v>66</v>
      </c>
      <c r="K20" s="41">
        <v>101.53</v>
      </c>
      <c r="L20" s="42">
        <f t="shared" si="4"/>
        <v>1.1666092152131449</v>
      </c>
      <c r="M20" s="43"/>
      <c r="N20" s="43">
        <v>2</v>
      </c>
      <c r="P20" s="49" t="s">
        <v>125</v>
      </c>
      <c r="Q20" s="48" t="s">
        <v>59</v>
      </c>
      <c r="R20" s="41">
        <v>98.85</v>
      </c>
      <c r="S20" s="42">
        <f t="shared" si="5"/>
        <v>1.2334664337409533</v>
      </c>
      <c r="T20" s="43"/>
      <c r="U20" s="43">
        <v>2</v>
      </c>
      <c r="W20" s="47" t="s">
        <v>76</v>
      </c>
      <c r="X20" s="41">
        <v>27.04</v>
      </c>
      <c r="Y20" s="42">
        <f t="shared" si="3"/>
        <v>0.82013952077646346</v>
      </c>
      <c r="Z20" s="43"/>
      <c r="AA20" s="43"/>
      <c r="AB20" s="43">
        <v>4</v>
      </c>
      <c r="AC20" s="52"/>
      <c r="AE20" s="39" t="s">
        <v>112</v>
      </c>
      <c r="AF20" s="50" t="s">
        <v>85</v>
      </c>
      <c r="AG20" s="41">
        <v>36.380000000000003</v>
      </c>
      <c r="AH20" s="42">
        <f t="shared" si="1"/>
        <v>0.93210351012042025</v>
      </c>
      <c r="AI20" s="43"/>
      <c r="AJ20" s="43"/>
      <c r="AK20" s="43">
        <v>4</v>
      </c>
      <c r="AM20" s="39" t="s">
        <v>113</v>
      </c>
      <c r="AN20" s="47" t="s">
        <v>72</v>
      </c>
      <c r="AO20" s="44">
        <v>58.0208333333333</v>
      </c>
      <c r="AP20" s="42">
        <f t="shared" si="2"/>
        <v>0.92301675681408368</v>
      </c>
      <c r="AQ20" s="43"/>
      <c r="AR20" s="43">
        <v>4</v>
      </c>
    </row>
    <row r="21" spans="1:44" ht="24" x14ac:dyDescent="0.35">
      <c r="A21" s="39" t="s">
        <v>113</v>
      </c>
      <c r="B21" s="40" t="s">
        <v>41</v>
      </c>
      <c r="C21" s="44">
        <v>90.875</v>
      </c>
      <c r="D21" s="42">
        <f t="shared" si="0"/>
        <v>0.95517132646626024</v>
      </c>
      <c r="E21" s="42"/>
      <c r="F21" s="42"/>
      <c r="G21" s="43">
        <v>5</v>
      </c>
      <c r="I21" s="39" t="s">
        <v>109</v>
      </c>
      <c r="J21" s="47" t="s">
        <v>58</v>
      </c>
      <c r="K21" s="41">
        <v>98.65</v>
      </c>
      <c r="L21" s="42">
        <f t="shared" si="4"/>
        <v>1.1335171779846032</v>
      </c>
      <c r="M21" s="43"/>
      <c r="N21" s="43">
        <v>3</v>
      </c>
      <c r="P21" s="49" t="s">
        <v>126</v>
      </c>
      <c r="Q21" s="48" t="s">
        <v>55</v>
      </c>
      <c r="R21" s="41">
        <v>96.98</v>
      </c>
      <c r="S21" s="42">
        <f t="shared" si="5"/>
        <v>1.2101322685300724</v>
      </c>
      <c r="T21" s="43"/>
      <c r="U21" s="43">
        <v>3</v>
      </c>
      <c r="W21" s="47" t="s">
        <v>75</v>
      </c>
      <c r="X21" s="44">
        <v>26.5</v>
      </c>
      <c r="Y21" s="42">
        <f t="shared" si="3"/>
        <v>0.80376099484379737</v>
      </c>
      <c r="Z21" s="43"/>
      <c r="AA21" s="43"/>
      <c r="AB21" s="43">
        <v>5</v>
      </c>
      <c r="AC21" s="52"/>
      <c r="AE21" s="39" t="s">
        <v>113</v>
      </c>
      <c r="AF21" s="50" t="s">
        <v>90</v>
      </c>
      <c r="AG21" s="44">
        <v>33.1666666666667</v>
      </c>
      <c r="AH21" s="42">
        <f t="shared" si="1"/>
        <v>0.84977367836706885</v>
      </c>
      <c r="AI21" s="43"/>
      <c r="AJ21" s="43"/>
      <c r="AK21" s="43">
        <v>5</v>
      </c>
      <c r="AM21" s="16" t="s">
        <v>115</v>
      </c>
      <c r="AN21" s="47" t="s">
        <v>61</v>
      </c>
      <c r="AO21" s="41">
        <v>57.47</v>
      </c>
      <c r="AP21" s="42">
        <f t="shared" si="2"/>
        <v>0.91425389755011133</v>
      </c>
      <c r="AQ21" s="43"/>
      <c r="AR21" s="43">
        <v>5</v>
      </c>
    </row>
    <row r="22" spans="1:44" ht="24" x14ac:dyDescent="0.35">
      <c r="A22" s="16" t="s">
        <v>114</v>
      </c>
      <c r="B22" s="40" t="s">
        <v>32</v>
      </c>
      <c r="C22" s="44">
        <v>90.023255813953497</v>
      </c>
      <c r="D22" s="42">
        <f t="shared" si="0"/>
        <v>0.94621879140165543</v>
      </c>
      <c r="E22" s="42"/>
      <c r="F22" s="42"/>
      <c r="G22" s="43">
        <v>6</v>
      </c>
      <c r="I22" s="39" t="s">
        <v>112</v>
      </c>
      <c r="J22" s="47" t="s">
        <v>49</v>
      </c>
      <c r="K22" s="41">
        <v>81.17</v>
      </c>
      <c r="L22" s="42">
        <f t="shared" si="4"/>
        <v>0.9326668964724808</v>
      </c>
      <c r="M22" s="43"/>
      <c r="N22" s="43">
        <v>4</v>
      </c>
      <c r="P22" s="49" t="s">
        <v>127</v>
      </c>
      <c r="Q22" s="48" t="s">
        <v>51</v>
      </c>
      <c r="R22" s="44">
        <v>74.9479166666667</v>
      </c>
      <c r="S22" s="42">
        <f t="shared" si="5"/>
        <v>0.9352123367440317</v>
      </c>
      <c r="T22" s="43"/>
      <c r="U22" s="43">
        <v>4</v>
      </c>
      <c r="W22" s="47" t="s">
        <v>76</v>
      </c>
      <c r="X22" s="41">
        <v>25.09</v>
      </c>
      <c r="Y22" s="42">
        <f t="shared" si="3"/>
        <v>0.76099484379739157</v>
      </c>
      <c r="Z22" s="43"/>
      <c r="AA22" s="43"/>
      <c r="AB22" s="43">
        <v>6</v>
      </c>
      <c r="AC22" s="52"/>
      <c r="AE22" s="16" t="s">
        <v>115</v>
      </c>
      <c r="AF22" s="50" t="s">
        <v>86</v>
      </c>
      <c r="AG22" s="41">
        <v>31.67</v>
      </c>
      <c r="AH22" s="42">
        <f t="shared" si="1"/>
        <v>0.81142710735331802</v>
      </c>
      <c r="AI22" s="43"/>
      <c r="AJ22" s="43"/>
      <c r="AK22" s="43">
        <v>6</v>
      </c>
      <c r="AM22" s="39" t="s">
        <v>112</v>
      </c>
      <c r="AN22" s="47" t="s">
        <v>72</v>
      </c>
      <c r="AO22" s="41">
        <v>54.57</v>
      </c>
      <c r="AP22" s="42">
        <f t="shared" si="2"/>
        <v>0.86811963092586697</v>
      </c>
      <c r="AQ22" s="43"/>
      <c r="AR22" s="43">
        <v>6</v>
      </c>
    </row>
    <row r="23" spans="1:44" ht="24" x14ac:dyDescent="0.35">
      <c r="A23" s="16" t="s">
        <v>115</v>
      </c>
      <c r="B23" s="40" t="s">
        <v>44</v>
      </c>
      <c r="C23" s="41">
        <v>89.24</v>
      </c>
      <c r="D23" s="42">
        <f t="shared" si="0"/>
        <v>0.9379861257094807</v>
      </c>
      <c r="E23" s="43"/>
      <c r="F23" s="43"/>
      <c r="G23" s="43">
        <v>7</v>
      </c>
      <c r="I23" s="39" t="s">
        <v>113</v>
      </c>
      <c r="J23" s="47" t="s">
        <v>58</v>
      </c>
      <c r="K23" s="44">
        <v>76.375</v>
      </c>
      <c r="L23" s="42">
        <f t="shared" si="4"/>
        <v>0.87757095254509943</v>
      </c>
      <c r="M23" s="43"/>
      <c r="N23" s="43">
        <v>5</v>
      </c>
      <c r="P23" s="49" t="s">
        <v>128</v>
      </c>
      <c r="Q23" s="48" t="s">
        <v>71</v>
      </c>
      <c r="R23" s="41">
        <v>63.74</v>
      </c>
      <c r="S23" s="42">
        <f t="shared" si="5"/>
        <v>0.79535812328425259</v>
      </c>
      <c r="T23" s="43"/>
      <c r="U23" s="43">
        <v>5</v>
      </c>
      <c r="W23" s="47" t="s">
        <v>88</v>
      </c>
      <c r="X23" s="44">
        <v>22.697674418604699</v>
      </c>
      <c r="Y23" s="42">
        <f t="shared" si="3"/>
        <v>0.68843416495616316</v>
      </c>
      <c r="Z23" s="43"/>
      <c r="AA23" s="43"/>
      <c r="AB23" s="43">
        <v>7</v>
      </c>
      <c r="AC23" s="52"/>
      <c r="AE23" s="16" t="s">
        <v>114</v>
      </c>
      <c r="AF23" s="50" t="s">
        <v>87</v>
      </c>
      <c r="AG23" s="44">
        <v>31.395348837209301</v>
      </c>
      <c r="AH23" s="42">
        <f t="shared" si="1"/>
        <v>0.80439018286470154</v>
      </c>
      <c r="AI23" s="43"/>
      <c r="AJ23" s="43"/>
      <c r="AK23" s="43">
        <v>7</v>
      </c>
      <c r="AM23" s="16" t="s">
        <v>114</v>
      </c>
      <c r="AN23" s="47" t="s">
        <v>61</v>
      </c>
      <c r="AO23" s="44">
        <v>54.023255813953497</v>
      </c>
      <c r="AP23" s="42">
        <f t="shared" si="2"/>
        <v>0.85942182332092742</v>
      </c>
      <c r="AQ23" s="43"/>
      <c r="AR23" s="43">
        <v>7</v>
      </c>
    </row>
    <row r="24" spans="1:44" ht="22.5" x14ac:dyDescent="0.25">
      <c r="A24" s="45"/>
      <c r="B24" s="45"/>
      <c r="C24" s="46">
        <f>AVERAGE(C17:C23)</f>
        <v>95.138322259136217</v>
      </c>
      <c r="D24" s="46">
        <f>SUM(D17:D23)</f>
        <v>6.9998765589021801</v>
      </c>
      <c r="E24" s="45"/>
      <c r="F24" s="45"/>
      <c r="G24" s="45"/>
      <c r="I24" s="16" t="s">
        <v>115</v>
      </c>
      <c r="J24" s="47" t="s">
        <v>66</v>
      </c>
      <c r="K24" s="41">
        <v>74.87</v>
      </c>
      <c r="L24" s="42">
        <f t="shared" si="4"/>
        <v>0.86027806503504545</v>
      </c>
      <c r="M24" s="43"/>
      <c r="N24" s="43">
        <v>6</v>
      </c>
      <c r="P24" s="48" t="s">
        <v>115</v>
      </c>
      <c r="Q24" s="48" t="s">
        <v>71</v>
      </c>
      <c r="R24" s="41">
        <v>63</v>
      </c>
      <c r="S24" s="42">
        <f t="shared" si="5"/>
        <v>0.78612428250561517</v>
      </c>
      <c r="T24" s="43"/>
      <c r="U24" s="43">
        <v>6</v>
      </c>
      <c r="W24" s="45"/>
      <c r="X24" s="46">
        <f>AVERAGE(X17:X23)</f>
        <v>32.968239202657813</v>
      </c>
      <c r="Y24" s="46">
        <f>SUM(Y17:Y23)</f>
        <v>6.999698827473237</v>
      </c>
      <c r="Z24" s="45"/>
      <c r="AA24" s="45"/>
      <c r="AB24" s="45"/>
      <c r="AC24" s="45"/>
      <c r="AM24" s="45"/>
      <c r="AN24" s="45"/>
      <c r="AO24" s="46">
        <f>AVERAGE(AO17:AO23)</f>
        <v>62.863441306755256</v>
      </c>
      <c r="AP24" s="46">
        <f>SUM(AP17:AP23)</f>
        <v>7.0003832190150614</v>
      </c>
      <c r="AQ24" s="45"/>
      <c r="AR24" s="45"/>
    </row>
    <row r="25" spans="1:44" ht="22.5" x14ac:dyDescent="0.25">
      <c r="I25" s="16" t="s">
        <v>114</v>
      </c>
      <c r="J25" s="47" t="s">
        <v>62</v>
      </c>
      <c r="K25" s="44">
        <v>74.232558139534902</v>
      </c>
      <c r="L25" s="42">
        <f t="shared" si="4"/>
        <v>0.85295367275117662</v>
      </c>
      <c r="M25" s="43"/>
      <c r="N25" s="43">
        <v>7</v>
      </c>
      <c r="P25" s="48" t="s">
        <v>114</v>
      </c>
      <c r="Q25" s="48" t="s">
        <v>89</v>
      </c>
      <c r="R25" s="44">
        <v>60.546511627907002</v>
      </c>
      <c r="S25" s="42">
        <f t="shared" si="5"/>
        <v>0.75550925415406789</v>
      </c>
      <c r="T25" s="43"/>
      <c r="U25" s="43">
        <v>7</v>
      </c>
    </row>
    <row r="26" spans="1:44" x14ac:dyDescent="0.2">
      <c r="P26" s="45"/>
      <c r="Q26" s="45"/>
      <c r="R26" s="46">
        <f>AVERAGE(R19:R25)</f>
        <v>80.140632613510533</v>
      </c>
      <c r="S26" s="46">
        <f>SUM(S19:S25)</f>
        <v>7.0000552569824519</v>
      </c>
      <c r="T26" s="45"/>
      <c r="U26" s="45"/>
    </row>
  </sheetData>
  <phoneticPr fontId="4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1"/>
  <sheetViews>
    <sheetView topLeftCell="A7" workbookViewId="0">
      <selection activeCell="S15" sqref="S15"/>
    </sheetView>
  </sheetViews>
  <sheetFormatPr defaultColWidth="9" defaultRowHeight="13.5" x14ac:dyDescent="0.15"/>
  <cols>
    <col min="13" max="13" width="13.375" customWidth="1"/>
    <col min="14" max="14" width="17.125" customWidth="1"/>
    <col min="15" max="15" width="15.125" customWidth="1"/>
  </cols>
  <sheetData>
    <row r="1" spans="1:15" ht="14.25" x14ac:dyDescent="0.15">
      <c r="A1" s="1"/>
      <c r="B1" s="1"/>
      <c r="C1" s="1"/>
      <c r="D1" s="2"/>
      <c r="E1" s="3"/>
      <c r="F1" s="4"/>
      <c r="G1" s="5"/>
      <c r="H1" s="6"/>
      <c r="I1" s="25"/>
      <c r="J1" s="25"/>
      <c r="K1" s="25"/>
      <c r="L1" s="25"/>
      <c r="M1" s="29"/>
      <c r="N1" s="30"/>
      <c r="O1" s="30"/>
    </row>
    <row r="2" spans="1:15" ht="20.25" x14ac:dyDescent="0.15">
      <c r="A2" s="148" t="s">
        <v>131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</row>
    <row r="3" spans="1:15" ht="14.25" x14ac:dyDescent="0.15">
      <c r="A3" s="7" t="s">
        <v>94</v>
      </c>
      <c r="B3" s="7" t="s">
        <v>0</v>
      </c>
      <c r="C3" s="7" t="s">
        <v>132</v>
      </c>
      <c r="D3" s="7" t="s">
        <v>133</v>
      </c>
      <c r="E3" s="7" t="s">
        <v>100</v>
      </c>
      <c r="F3" s="7" t="s">
        <v>134</v>
      </c>
      <c r="G3" s="7" t="s">
        <v>135</v>
      </c>
      <c r="H3" s="7" t="s">
        <v>136</v>
      </c>
      <c r="I3" s="7" t="s">
        <v>137</v>
      </c>
      <c r="J3" s="8" t="s">
        <v>117</v>
      </c>
      <c r="K3" s="8" t="s">
        <v>138</v>
      </c>
      <c r="L3" s="8" t="s">
        <v>139</v>
      </c>
      <c r="M3" s="31" t="s">
        <v>140</v>
      </c>
      <c r="N3" s="149" t="s">
        <v>141</v>
      </c>
      <c r="O3" s="150"/>
    </row>
    <row r="4" spans="1:15" ht="14.25" x14ac:dyDescent="0.15">
      <c r="A4" s="8" t="s">
        <v>142</v>
      </c>
      <c r="B4" s="8" t="s">
        <v>25</v>
      </c>
      <c r="C4" s="9">
        <v>48</v>
      </c>
      <c r="D4" s="9">
        <v>93.135999999999996</v>
      </c>
      <c r="E4" s="10">
        <v>96.98</v>
      </c>
      <c r="F4" s="11">
        <f t="shared" ref="F4:F8" si="0">E4/D4</f>
        <v>1.0412729771516922</v>
      </c>
      <c r="G4" s="12">
        <v>1</v>
      </c>
      <c r="H4" s="13" t="s">
        <v>32</v>
      </c>
      <c r="I4" s="13" t="s">
        <v>32</v>
      </c>
      <c r="J4" s="9">
        <f t="shared" ref="J4:J8" si="1">6400/5</f>
        <v>1280</v>
      </c>
      <c r="K4" s="9">
        <f t="shared" ref="K4:K9" si="2">(9600*0.7/465.68)*E4</f>
        <v>1399.4708812918743</v>
      </c>
      <c r="L4" s="9">
        <f t="shared" ref="L4:L9" si="3">(9600*0.3/5)*F4</f>
        <v>599.77323483937471</v>
      </c>
      <c r="M4" s="32">
        <f t="shared" ref="M4:M8" si="4">J4+K4+L4</f>
        <v>3279.244116131249</v>
      </c>
      <c r="N4" s="13" t="s">
        <v>32</v>
      </c>
      <c r="O4" s="32">
        <v>3279.2441161312499</v>
      </c>
    </row>
    <row r="5" spans="1:15" ht="14.25" x14ac:dyDescent="0.15">
      <c r="A5" s="8" t="s">
        <v>143</v>
      </c>
      <c r="B5" s="8" t="s">
        <v>25</v>
      </c>
      <c r="C5" s="9">
        <v>48</v>
      </c>
      <c r="D5" s="9">
        <v>93.135999999999996</v>
      </c>
      <c r="E5" s="10">
        <v>96.56</v>
      </c>
      <c r="F5" s="11">
        <f t="shared" si="0"/>
        <v>1.0367634427074386</v>
      </c>
      <c r="G5" s="12">
        <v>2</v>
      </c>
      <c r="H5" s="13" t="s">
        <v>26</v>
      </c>
      <c r="I5" s="13" t="s">
        <v>26</v>
      </c>
      <c r="J5" s="9">
        <f t="shared" si="1"/>
        <v>1280</v>
      </c>
      <c r="K5" s="9">
        <f t="shared" si="2"/>
        <v>1393.4100669987974</v>
      </c>
      <c r="L5" s="9">
        <f t="shared" si="3"/>
        <v>597.17574299948467</v>
      </c>
      <c r="M5" s="32">
        <f t="shared" si="4"/>
        <v>3270.585809998282</v>
      </c>
      <c r="N5" s="13" t="s">
        <v>26</v>
      </c>
      <c r="O5" s="32">
        <f>M5+M7</f>
        <v>6411.9154784401308</v>
      </c>
    </row>
    <row r="6" spans="1:15" ht="14.25" x14ac:dyDescent="0.15">
      <c r="A6" s="8" t="s">
        <v>144</v>
      </c>
      <c r="B6" s="8" t="s">
        <v>25</v>
      </c>
      <c r="C6" s="9">
        <v>43</v>
      </c>
      <c r="D6" s="9">
        <v>93.135999999999996</v>
      </c>
      <c r="E6" s="10">
        <v>91.61</v>
      </c>
      <c r="F6" s="11">
        <f t="shared" si="0"/>
        <v>0.98361535818587875</v>
      </c>
      <c r="G6" s="12">
        <v>1</v>
      </c>
      <c r="H6" s="13" t="s">
        <v>57</v>
      </c>
      <c r="I6" s="13" t="s">
        <v>78</v>
      </c>
      <c r="J6" s="9">
        <f t="shared" si="1"/>
        <v>1280</v>
      </c>
      <c r="K6" s="9">
        <f t="shared" si="2"/>
        <v>1321.979041401821</v>
      </c>
      <c r="L6" s="9">
        <f t="shared" si="3"/>
        <v>566.56244631506615</v>
      </c>
      <c r="M6" s="32">
        <f t="shared" si="4"/>
        <v>3168.5414877168869</v>
      </c>
      <c r="N6" s="13" t="s">
        <v>57</v>
      </c>
      <c r="O6" s="32">
        <f>M6*0.5</f>
        <v>1584.2707438584434</v>
      </c>
    </row>
    <row r="7" spans="1:15" ht="14.25" x14ac:dyDescent="0.15">
      <c r="A7" s="8" t="s">
        <v>145</v>
      </c>
      <c r="B7" s="8" t="s">
        <v>25</v>
      </c>
      <c r="C7" s="9">
        <v>52</v>
      </c>
      <c r="D7" s="9">
        <v>93.135999999999996</v>
      </c>
      <c r="E7" s="10">
        <v>90.29</v>
      </c>
      <c r="F7" s="11">
        <f t="shared" si="0"/>
        <v>0.96944253564679617</v>
      </c>
      <c r="G7" s="12">
        <v>2</v>
      </c>
      <c r="H7" s="13" t="s">
        <v>26</v>
      </c>
      <c r="I7" s="13" t="s">
        <v>26</v>
      </c>
      <c r="J7" s="9">
        <f t="shared" si="1"/>
        <v>1280</v>
      </c>
      <c r="K7" s="9">
        <f t="shared" si="2"/>
        <v>1302.930767909294</v>
      </c>
      <c r="L7" s="9">
        <f t="shared" si="3"/>
        <v>558.39890053255453</v>
      </c>
      <c r="M7" s="32">
        <f t="shared" si="4"/>
        <v>3141.3296684418483</v>
      </c>
      <c r="N7" s="13" t="s">
        <v>78</v>
      </c>
      <c r="O7" s="32">
        <f>M6*0.5</f>
        <v>1584.2707438584434</v>
      </c>
    </row>
    <row r="8" spans="1:15" ht="14.25" x14ac:dyDescent="0.15">
      <c r="A8" s="8" t="s">
        <v>146</v>
      </c>
      <c r="B8" s="8" t="s">
        <v>25</v>
      </c>
      <c r="C8" s="9">
        <v>50</v>
      </c>
      <c r="D8" s="9">
        <v>93.135999999999996</v>
      </c>
      <c r="E8" s="10">
        <v>90.24</v>
      </c>
      <c r="F8" s="11">
        <f t="shared" si="0"/>
        <v>0.96890568630819451</v>
      </c>
      <c r="G8" s="12">
        <v>3</v>
      </c>
      <c r="H8" s="13" t="s">
        <v>41</v>
      </c>
      <c r="I8" s="13" t="s">
        <v>41</v>
      </c>
      <c r="J8" s="9">
        <f t="shared" si="1"/>
        <v>1280</v>
      </c>
      <c r="K8" s="9">
        <f t="shared" si="2"/>
        <v>1302.2092423982133</v>
      </c>
      <c r="L8" s="9">
        <f t="shared" si="3"/>
        <v>558.08967531352005</v>
      </c>
      <c r="M8" s="32">
        <f t="shared" si="4"/>
        <v>3140.2989177117333</v>
      </c>
      <c r="N8" s="13" t="s">
        <v>41</v>
      </c>
      <c r="O8" s="32">
        <v>3140.2989177117302</v>
      </c>
    </row>
    <row r="9" spans="1:15" ht="14.25" x14ac:dyDescent="0.15">
      <c r="A9" s="1"/>
      <c r="B9" s="1"/>
      <c r="C9" s="1"/>
      <c r="D9" s="2"/>
      <c r="E9" s="3">
        <f t="shared" ref="E9:J9" si="5">SUM(E4:E8)</f>
        <v>465.68000000000006</v>
      </c>
      <c r="F9" s="14">
        <f t="shared" si="5"/>
        <v>5</v>
      </c>
      <c r="G9" s="5"/>
      <c r="H9" s="6"/>
      <c r="I9" s="1"/>
      <c r="J9" s="9">
        <f t="shared" si="5"/>
        <v>6400</v>
      </c>
      <c r="K9" s="9">
        <f t="shared" si="2"/>
        <v>6720.0000000000009</v>
      </c>
      <c r="L9" s="9">
        <f t="shared" si="3"/>
        <v>2880</v>
      </c>
      <c r="M9" s="32">
        <f>SUM(M4:M8)</f>
        <v>16000</v>
      </c>
      <c r="N9" s="33"/>
      <c r="O9" s="32">
        <f>SUM(O4:O8)</f>
        <v>16000</v>
      </c>
    </row>
    <row r="10" spans="1:15" ht="14.25" x14ac:dyDescent="0.15">
      <c r="A10" s="1"/>
      <c r="B10" s="1"/>
      <c r="C10" s="1"/>
      <c r="D10" s="2"/>
      <c r="E10" s="3"/>
      <c r="F10" s="14"/>
      <c r="G10" s="5"/>
      <c r="H10" s="6"/>
      <c r="I10" s="1"/>
      <c r="J10" s="1"/>
      <c r="K10" s="1"/>
      <c r="L10" s="1"/>
      <c r="M10" s="2"/>
      <c r="N10" s="30"/>
      <c r="O10" s="30"/>
    </row>
    <row r="11" spans="1:15" ht="14.25" x14ac:dyDescent="0.15">
      <c r="A11" s="1"/>
      <c r="B11" s="1"/>
      <c r="C11" s="1"/>
      <c r="D11" s="1"/>
      <c r="E11" s="6" t="s">
        <v>147</v>
      </c>
      <c r="F11" s="15"/>
      <c r="G11" s="1"/>
      <c r="H11" s="1"/>
      <c r="I11" s="25"/>
      <c r="J11" s="25"/>
      <c r="K11" s="25"/>
      <c r="L11" s="25"/>
      <c r="M11" s="29"/>
      <c r="N11" s="30"/>
      <c r="O11" s="30"/>
    </row>
    <row r="12" spans="1:15" ht="14.25" x14ac:dyDescent="0.15">
      <c r="A12" s="7" t="s">
        <v>94</v>
      </c>
      <c r="B12" s="7" t="s">
        <v>0</v>
      </c>
      <c r="C12" s="7" t="s">
        <v>132</v>
      </c>
      <c r="D12" s="7" t="s">
        <v>133</v>
      </c>
      <c r="E12" s="7" t="s">
        <v>100</v>
      </c>
      <c r="F12" s="7" t="s">
        <v>134</v>
      </c>
      <c r="G12" s="7" t="s">
        <v>135</v>
      </c>
      <c r="H12" s="7" t="s">
        <v>136</v>
      </c>
      <c r="I12" s="7" t="s">
        <v>137</v>
      </c>
      <c r="J12" s="8" t="s">
        <v>117</v>
      </c>
      <c r="K12" s="8" t="s">
        <v>138</v>
      </c>
      <c r="L12" s="8" t="s">
        <v>139</v>
      </c>
      <c r="M12" s="31" t="s">
        <v>140</v>
      </c>
      <c r="N12" s="149" t="s">
        <v>141</v>
      </c>
      <c r="O12" s="150"/>
    </row>
    <row r="13" spans="1:15" ht="20.25" x14ac:dyDescent="0.25">
      <c r="A13" s="16" t="s">
        <v>143</v>
      </c>
      <c r="B13" s="8" t="s">
        <v>48</v>
      </c>
      <c r="C13" s="9">
        <v>48</v>
      </c>
      <c r="D13" s="9">
        <v>63.158000000000001</v>
      </c>
      <c r="E13" s="10">
        <v>82</v>
      </c>
      <c r="F13" s="17">
        <f t="shared" ref="F13:F17" si="6">E13/D13</f>
        <v>1.2983311694480508</v>
      </c>
      <c r="G13" s="12">
        <v>1</v>
      </c>
      <c r="H13" s="13" t="s">
        <v>68</v>
      </c>
      <c r="I13" s="13" t="s">
        <v>68</v>
      </c>
      <c r="J13" s="9">
        <f t="shared" ref="J13:J17" si="7">6400/5</f>
        <v>1280</v>
      </c>
      <c r="K13" s="9">
        <f t="shared" ref="K13:K17" si="8">(9600*0.7/315.79)*E13</f>
        <v>1744.9570917381805</v>
      </c>
      <c r="L13" s="9">
        <f t="shared" ref="L13:L17" si="9">(9600*0.3/5)*F13</f>
        <v>747.8387536020773</v>
      </c>
      <c r="M13" s="32">
        <f t="shared" ref="M13:M17" si="10">J13+K13+L13</f>
        <v>3772.795845340258</v>
      </c>
      <c r="N13" s="8" t="s">
        <v>68</v>
      </c>
      <c r="O13" s="32">
        <f>M13+M15</f>
        <v>7009.9445834256949</v>
      </c>
    </row>
    <row r="14" spans="1:15" ht="20.25" x14ac:dyDescent="0.25">
      <c r="A14" s="16" t="s">
        <v>142</v>
      </c>
      <c r="B14" s="8" t="s">
        <v>48</v>
      </c>
      <c r="C14" s="9">
        <v>48</v>
      </c>
      <c r="D14" s="9">
        <v>63.158000000000001</v>
      </c>
      <c r="E14" s="10">
        <v>68.319999999999993</v>
      </c>
      <c r="F14" s="17">
        <f t="shared" si="6"/>
        <v>1.0817315304474491</v>
      </c>
      <c r="G14" s="12">
        <v>2</v>
      </c>
      <c r="H14" s="13" t="s">
        <v>62</v>
      </c>
      <c r="I14" s="13" t="s">
        <v>62</v>
      </c>
      <c r="J14" s="9">
        <f t="shared" si="7"/>
        <v>1280</v>
      </c>
      <c r="K14" s="9">
        <f t="shared" si="8"/>
        <v>1453.8471769213716</v>
      </c>
      <c r="L14" s="9">
        <f t="shared" si="9"/>
        <v>623.07736153773067</v>
      </c>
      <c r="M14" s="32">
        <f t="shared" si="10"/>
        <v>3356.9245384591022</v>
      </c>
      <c r="N14" s="8" t="s">
        <v>62</v>
      </c>
      <c r="O14" s="32">
        <f>M14</f>
        <v>3356.9245384591022</v>
      </c>
    </row>
    <row r="15" spans="1:15" ht="20.25" x14ac:dyDescent="0.25">
      <c r="A15" s="16" t="s">
        <v>146</v>
      </c>
      <c r="B15" s="8" t="s">
        <v>48</v>
      </c>
      <c r="C15" s="9">
        <v>50</v>
      </c>
      <c r="D15" s="9">
        <v>63.158000000000001</v>
      </c>
      <c r="E15" s="10">
        <v>64.38</v>
      </c>
      <c r="F15" s="17">
        <f t="shared" si="6"/>
        <v>1.0193483010861648</v>
      </c>
      <c r="G15" s="12">
        <v>1</v>
      </c>
      <c r="H15" s="13" t="s">
        <v>68</v>
      </c>
      <c r="I15" s="13" t="s">
        <v>68</v>
      </c>
      <c r="J15" s="9">
        <f t="shared" si="7"/>
        <v>1280</v>
      </c>
      <c r="K15" s="9">
        <f t="shared" si="8"/>
        <v>1370.0041166598055</v>
      </c>
      <c r="L15" s="9">
        <f t="shared" si="9"/>
        <v>587.14462142563093</v>
      </c>
      <c r="M15" s="32">
        <f t="shared" si="10"/>
        <v>3237.1487380854369</v>
      </c>
      <c r="N15" s="8" t="s">
        <v>79</v>
      </c>
      <c r="O15" s="32">
        <f>M16</f>
        <v>2986.6531555780743</v>
      </c>
    </row>
    <row r="16" spans="1:15" ht="20.25" x14ac:dyDescent="0.25">
      <c r="A16" s="16" t="s">
        <v>145</v>
      </c>
      <c r="B16" s="8" t="s">
        <v>48</v>
      </c>
      <c r="C16" s="9">
        <v>52</v>
      </c>
      <c r="D16" s="9">
        <v>63.158000000000001</v>
      </c>
      <c r="E16" s="10">
        <v>56.14</v>
      </c>
      <c r="F16" s="17">
        <f t="shared" si="6"/>
        <v>0.88888185186358026</v>
      </c>
      <c r="G16" s="12">
        <v>2</v>
      </c>
      <c r="H16" s="13" t="s">
        <v>79</v>
      </c>
      <c r="I16" s="13" t="s">
        <v>79</v>
      </c>
      <c r="J16" s="9">
        <f t="shared" si="7"/>
        <v>1280</v>
      </c>
      <c r="K16" s="9">
        <f t="shared" si="8"/>
        <v>1194.657208904652</v>
      </c>
      <c r="L16" s="9">
        <f t="shared" si="9"/>
        <v>511.99594667342222</v>
      </c>
      <c r="M16" s="32">
        <f t="shared" si="10"/>
        <v>2986.6531555780743</v>
      </c>
      <c r="N16" s="8" t="s">
        <v>81</v>
      </c>
      <c r="O16" s="32">
        <f>M17</f>
        <v>2646.477722537129</v>
      </c>
    </row>
    <row r="17" spans="1:15" ht="20.25" x14ac:dyDescent="0.25">
      <c r="A17" s="16" t="s">
        <v>144</v>
      </c>
      <c r="B17" s="8" t="s">
        <v>48</v>
      </c>
      <c r="C17" s="9">
        <v>43</v>
      </c>
      <c r="D17" s="9">
        <v>63.158000000000001</v>
      </c>
      <c r="E17" s="10">
        <v>44.95</v>
      </c>
      <c r="F17" s="17">
        <f t="shared" si="6"/>
        <v>0.7117071471547548</v>
      </c>
      <c r="G17" s="12">
        <v>3</v>
      </c>
      <c r="H17" s="13" t="s">
        <v>81</v>
      </c>
      <c r="I17" s="13" t="s">
        <v>81</v>
      </c>
      <c r="J17" s="9">
        <f t="shared" si="7"/>
        <v>1280</v>
      </c>
      <c r="K17" s="9">
        <f t="shared" si="8"/>
        <v>956.53440577599042</v>
      </c>
      <c r="L17" s="9">
        <f t="shared" si="9"/>
        <v>409.94331676113876</v>
      </c>
      <c r="M17" s="32">
        <f t="shared" si="10"/>
        <v>2646.477722537129</v>
      </c>
      <c r="N17" s="30"/>
      <c r="O17" s="32">
        <f>SUM(O13:O16)</f>
        <v>16000</v>
      </c>
    </row>
    <row r="18" spans="1:15" ht="14.25" x14ac:dyDescent="0.15">
      <c r="A18" s="1"/>
      <c r="B18" s="1"/>
      <c r="C18" s="1"/>
      <c r="D18" s="2"/>
      <c r="E18" s="3">
        <f t="shared" ref="E18:K18" si="11">SUM(E13:E17)</f>
        <v>315.78999999999996</v>
      </c>
      <c r="F18" s="4">
        <f t="shared" si="11"/>
        <v>5</v>
      </c>
      <c r="G18" s="5"/>
      <c r="H18" s="6"/>
      <c r="I18" s="1"/>
      <c r="J18" s="9">
        <f t="shared" si="11"/>
        <v>6400</v>
      </c>
      <c r="K18" s="9">
        <f t="shared" si="11"/>
        <v>6720</v>
      </c>
      <c r="L18" s="9">
        <f>(7200*0.3/5)*F18</f>
        <v>2160</v>
      </c>
      <c r="M18" s="32">
        <f>SUM(M13:M17)</f>
        <v>16000</v>
      </c>
      <c r="N18" s="30"/>
      <c r="O18" s="30"/>
    </row>
    <row r="19" spans="1:15" ht="14.25" x14ac:dyDescent="0.15">
      <c r="A19" s="6"/>
      <c r="B19" s="18"/>
      <c r="C19" s="18"/>
      <c r="D19" s="6"/>
      <c r="E19" s="6" t="s">
        <v>147</v>
      </c>
      <c r="F19" s="4"/>
      <c r="G19" s="18"/>
      <c r="H19" s="6"/>
      <c r="I19" s="25"/>
      <c r="J19" s="25"/>
      <c r="K19" s="25"/>
      <c r="L19" s="25"/>
      <c r="M19" s="29"/>
      <c r="N19" s="30"/>
      <c r="O19" s="30"/>
    </row>
    <row r="20" spans="1:15" ht="14.25" x14ac:dyDescent="0.15">
      <c r="A20" s="7" t="s">
        <v>94</v>
      </c>
      <c r="B20" s="7" t="s">
        <v>0</v>
      </c>
      <c r="C20" s="7" t="s">
        <v>132</v>
      </c>
      <c r="D20" s="7" t="s">
        <v>133</v>
      </c>
      <c r="E20" s="7" t="s">
        <v>100</v>
      </c>
      <c r="F20" s="7" t="s">
        <v>134</v>
      </c>
      <c r="G20" s="7" t="s">
        <v>135</v>
      </c>
      <c r="H20" s="7" t="s">
        <v>136</v>
      </c>
      <c r="I20" s="7" t="s">
        <v>137</v>
      </c>
      <c r="J20" s="8" t="s">
        <v>117</v>
      </c>
      <c r="K20" s="8" t="s">
        <v>138</v>
      </c>
      <c r="L20" s="8" t="s">
        <v>139</v>
      </c>
      <c r="M20" s="31" t="s">
        <v>140</v>
      </c>
      <c r="N20" s="149" t="s">
        <v>141</v>
      </c>
      <c r="O20" s="150"/>
    </row>
    <row r="21" spans="1:15" ht="20.25" x14ac:dyDescent="0.25">
      <c r="A21" s="16" t="s">
        <v>143</v>
      </c>
      <c r="B21" s="8" t="s">
        <v>42</v>
      </c>
      <c r="C21" s="9">
        <v>48</v>
      </c>
      <c r="D21" s="9">
        <v>71.908000000000001</v>
      </c>
      <c r="E21" s="10">
        <v>89.94</v>
      </c>
      <c r="F21" s="17">
        <f t="shared" ref="F21:F25" si="12">E21/D21</f>
        <v>1.2507648662179451</v>
      </c>
      <c r="G21" s="12">
        <v>1</v>
      </c>
      <c r="H21" s="13" t="s">
        <v>51</v>
      </c>
      <c r="I21" s="13" t="s">
        <v>51</v>
      </c>
      <c r="J21" s="9">
        <f t="shared" ref="J21:J25" si="13">6400/5</f>
        <v>1280</v>
      </c>
      <c r="K21" s="9">
        <f t="shared" ref="K21:K25" si="14">(9600*0.7/359.54)*E21</f>
        <v>1681.027980196918</v>
      </c>
      <c r="L21" s="9">
        <f t="shared" ref="L21:L25" si="15">(9600*0.3/5)*F21</f>
        <v>720.44056294153643</v>
      </c>
      <c r="M21" s="32">
        <f t="shared" ref="M21:M25" si="16">J21+K21+L21</f>
        <v>3681.4685431384546</v>
      </c>
      <c r="N21" s="8" t="s">
        <v>51</v>
      </c>
      <c r="O21" s="32">
        <f>M21</f>
        <v>3681.4685431384546</v>
      </c>
    </row>
    <row r="22" spans="1:15" ht="20.25" x14ac:dyDescent="0.25">
      <c r="A22" s="16" t="s">
        <v>142</v>
      </c>
      <c r="B22" s="8" t="s">
        <v>42</v>
      </c>
      <c r="C22" s="9">
        <v>48</v>
      </c>
      <c r="D22" s="9">
        <v>71.908000000000001</v>
      </c>
      <c r="E22" s="10">
        <v>83.36</v>
      </c>
      <c r="F22" s="17">
        <f t="shared" si="12"/>
        <v>1.1592590532346887</v>
      </c>
      <c r="G22" s="12">
        <v>2</v>
      </c>
      <c r="H22" s="13" t="s">
        <v>55</v>
      </c>
      <c r="I22" s="13" t="s">
        <v>55</v>
      </c>
      <c r="J22" s="9">
        <f t="shared" si="13"/>
        <v>1280</v>
      </c>
      <c r="K22" s="9">
        <f t="shared" si="14"/>
        <v>1558.0441675474215</v>
      </c>
      <c r="L22" s="9">
        <f t="shared" si="15"/>
        <v>667.73321466318066</v>
      </c>
      <c r="M22" s="32">
        <f t="shared" si="16"/>
        <v>3505.7773822106019</v>
      </c>
      <c r="N22" s="8" t="s">
        <v>55</v>
      </c>
      <c r="O22" s="32">
        <f>M22</f>
        <v>3505.7773822106019</v>
      </c>
    </row>
    <row r="23" spans="1:15" ht="20.25" x14ac:dyDescent="0.25">
      <c r="A23" s="16" t="s">
        <v>144</v>
      </c>
      <c r="B23" s="8" t="s">
        <v>42</v>
      </c>
      <c r="C23" s="9">
        <v>43</v>
      </c>
      <c r="D23" s="9">
        <v>71.908000000000001</v>
      </c>
      <c r="E23" s="10">
        <v>65.28</v>
      </c>
      <c r="F23" s="17">
        <f t="shared" si="12"/>
        <v>0.90782666740835516</v>
      </c>
      <c r="G23" s="12">
        <v>1</v>
      </c>
      <c r="H23" s="13" t="s">
        <v>43</v>
      </c>
      <c r="I23" s="13" t="s">
        <v>43</v>
      </c>
      <c r="J23" s="9">
        <f t="shared" si="13"/>
        <v>1280</v>
      </c>
      <c r="K23" s="9">
        <f t="shared" si="14"/>
        <v>1220.1190409968292</v>
      </c>
      <c r="L23" s="9">
        <f t="shared" si="15"/>
        <v>522.90816042721258</v>
      </c>
      <c r="M23" s="32">
        <f t="shared" si="16"/>
        <v>3023.0272014240418</v>
      </c>
      <c r="N23" s="8" t="s">
        <v>43</v>
      </c>
      <c r="O23" s="32">
        <f>M23+M24</f>
        <v>6021.2226734160313</v>
      </c>
    </row>
    <row r="24" spans="1:15" ht="20.25" x14ac:dyDescent="0.25">
      <c r="A24" s="16" t="s">
        <v>146</v>
      </c>
      <c r="B24" s="8" t="s">
        <v>42</v>
      </c>
      <c r="C24" s="9">
        <v>50</v>
      </c>
      <c r="D24" s="9">
        <v>71.908000000000001</v>
      </c>
      <c r="E24" s="10">
        <v>64.349999999999994</v>
      </c>
      <c r="F24" s="17">
        <f t="shared" si="12"/>
        <v>0.89489347499582794</v>
      </c>
      <c r="G24" s="12">
        <v>2</v>
      </c>
      <c r="H24" s="13" t="s">
        <v>43</v>
      </c>
      <c r="I24" s="13" t="s">
        <v>43</v>
      </c>
      <c r="J24" s="9">
        <f t="shared" si="13"/>
        <v>1280</v>
      </c>
      <c r="K24" s="9">
        <f t="shared" si="14"/>
        <v>1202.7368303943927</v>
      </c>
      <c r="L24" s="9">
        <f t="shared" si="15"/>
        <v>515.45864159759685</v>
      </c>
      <c r="M24" s="32">
        <f t="shared" si="16"/>
        <v>2998.1954719919895</v>
      </c>
      <c r="N24" s="8" t="s">
        <v>77</v>
      </c>
      <c r="O24" s="32">
        <f>M25*0.5</f>
        <v>1395.7657006174556</v>
      </c>
    </row>
    <row r="25" spans="1:15" ht="20.25" x14ac:dyDescent="0.25">
      <c r="A25" s="16" t="s">
        <v>145</v>
      </c>
      <c r="B25" s="8" t="s">
        <v>42</v>
      </c>
      <c r="C25" s="9">
        <v>52</v>
      </c>
      <c r="D25" s="9">
        <v>71.908000000000001</v>
      </c>
      <c r="E25" s="10">
        <v>56.61</v>
      </c>
      <c r="F25" s="17">
        <f t="shared" si="12"/>
        <v>0.78725593814318295</v>
      </c>
      <c r="G25" s="12">
        <v>3</v>
      </c>
      <c r="H25" s="13" t="s">
        <v>77</v>
      </c>
      <c r="I25" s="13" t="s">
        <v>82</v>
      </c>
      <c r="J25" s="9">
        <f t="shared" si="13"/>
        <v>1280</v>
      </c>
      <c r="K25" s="9">
        <f t="shared" si="14"/>
        <v>1058.0719808644378</v>
      </c>
      <c r="L25" s="9">
        <f t="shared" si="15"/>
        <v>453.45942037047337</v>
      </c>
      <c r="M25" s="32">
        <f t="shared" si="16"/>
        <v>2791.5314012349113</v>
      </c>
      <c r="N25" s="8" t="s">
        <v>82</v>
      </c>
      <c r="O25" s="32">
        <f>M25*0.5</f>
        <v>1395.7657006174556</v>
      </c>
    </row>
    <row r="26" spans="1:15" ht="14.25" x14ac:dyDescent="0.15">
      <c r="A26" s="1"/>
      <c r="B26" s="1"/>
      <c r="C26" s="1"/>
      <c r="D26" s="2"/>
      <c r="E26" s="19">
        <f t="shared" ref="E26:M26" si="17">SUM(E21:E25)</f>
        <v>359.54</v>
      </c>
      <c r="F26" s="4">
        <f t="shared" si="17"/>
        <v>5</v>
      </c>
      <c r="G26" s="5"/>
      <c r="H26" s="6"/>
      <c r="I26" s="1"/>
      <c r="J26" s="9">
        <f t="shared" si="17"/>
        <v>6400</v>
      </c>
      <c r="K26" s="9">
        <f t="shared" si="17"/>
        <v>6719.9999999999991</v>
      </c>
      <c r="L26" s="9">
        <f t="shared" si="17"/>
        <v>2879.9999999999995</v>
      </c>
      <c r="M26" s="32">
        <f t="shared" si="17"/>
        <v>16000</v>
      </c>
      <c r="N26" s="30"/>
      <c r="O26" s="32">
        <f>SUM(O21:O25)</f>
        <v>16000</v>
      </c>
    </row>
    <row r="27" spans="1:15" ht="14.25" x14ac:dyDescent="0.15">
      <c r="A27" s="6"/>
      <c r="B27" s="1"/>
      <c r="C27" s="1"/>
      <c r="D27" s="2"/>
      <c r="E27" s="20"/>
      <c r="F27" s="4"/>
      <c r="G27" s="5"/>
      <c r="H27" s="6"/>
      <c r="I27" s="25"/>
      <c r="J27" s="25"/>
      <c r="K27" s="25"/>
      <c r="L27" s="25"/>
      <c r="M27" s="29"/>
      <c r="N27" s="30"/>
      <c r="O27" s="30"/>
    </row>
    <row r="28" spans="1:15" ht="14.25" x14ac:dyDescent="0.15">
      <c r="A28" s="7" t="s">
        <v>94</v>
      </c>
      <c r="B28" s="7" t="s">
        <v>0</v>
      </c>
      <c r="C28" s="7" t="s">
        <v>132</v>
      </c>
      <c r="D28" s="7" t="s">
        <v>133</v>
      </c>
      <c r="E28" s="7" t="s">
        <v>100</v>
      </c>
      <c r="F28" s="7" t="s">
        <v>134</v>
      </c>
      <c r="G28" s="7" t="s">
        <v>135</v>
      </c>
      <c r="H28" s="7" t="s">
        <v>136</v>
      </c>
      <c r="I28" s="7" t="s">
        <v>137</v>
      </c>
      <c r="J28" s="8" t="s">
        <v>117</v>
      </c>
      <c r="K28" s="8" t="s">
        <v>138</v>
      </c>
      <c r="L28" s="8" t="s">
        <v>139</v>
      </c>
      <c r="M28" s="31" t="s">
        <v>140</v>
      </c>
      <c r="N28" s="149" t="s">
        <v>141</v>
      </c>
      <c r="O28" s="150"/>
    </row>
    <row r="29" spans="1:15" ht="14.25" x14ac:dyDescent="0.15">
      <c r="A29" s="8" t="s">
        <v>142</v>
      </c>
      <c r="B29" s="8" t="s">
        <v>7</v>
      </c>
      <c r="C29" s="9">
        <v>48</v>
      </c>
      <c r="D29" s="9">
        <v>53.146000000000001</v>
      </c>
      <c r="E29" s="10">
        <v>55.81</v>
      </c>
      <c r="F29" s="17">
        <f t="shared" ref="F29:F33" si="18">E29/D29</f>
        <v>1.0501260678131938</v>
      </c>
      <c r="G29" s="12">
        <v>1</v>
      </c>
      <c r="H29" s="13" t="s">
        <v>35</v>
      </c>
      <c r="I29" s="13" t="s">
        <v>35</v>
      </c>
      <c r="J29" s="34">
        <f t="shared" ref="J29:J33" si="19">8000/5</f>
        <v>1600</v>
      </c>
      <c r="K29" s="9">
        <f t="shared" ref="K29:K33" si="20">(12000*0.7/265.73)*E29</f>
        <v>1764.2117939261657</v>
      </c>
      <c r="L29" s="9">
        <f t="shared" ref="L29:L33" si="21">(12000*0.3/5)*F29</f>
        <v>756.09076882549959</v>
      </c>
      <c r="M29" s="32">
        <f t="shared" ref="M29:M33" si="22">K29+J29+L29</f>
        <v>4120.3025627516654</v>
      </c>
      <c r="N29" s="8" t="s">
        <v>35</v>
      </c>
      <c r="O29" s="32">
        <f>M29+M31</f>
        <v>8091.5816806532948</v>
      </c>
    </row>
    <row r="30" spans="1:15" ht="14.25" x14ac:dyDescent="0.15">
      <c r="A30" s="8" t="s">
        <v>143</v>
      </c>
      <c r="B30" s="8" t="s">
        <v>7</v>
      </c>
      <c r="C30" s="9">
        <v>48</v>
      </c>
      <c r="D30" s="9">
        <v>53.146000000000001</v>
      </c>
      <c r="E30" s="10">
        <v>55.59</v>
      </c>
      <c r="F30" s="17">
        <f t="shared" si="18"/>
        <v>1.0459865276784708</v>
      </c>
      <c r="G30" s="12">
        <v>2</v>
      </c>
      <c r="H30" s="13" t="s">
        <v>8</v>
      </c>
      <c r="I30" s="13" t="s">
        <v>8</v>
      </c>
      <c r="J30" s="34">
        <f t="shared" si="19"/>
        <v>1600</v>
      </c>
      <c r="K30" s="9">
        <f t="shared" si="20"/>
        <v>1757.2573664998306</v>
      </c>
      <c r="L30" s="9">
        <f t="shared" si="21"/>
        <v>753.11029992849899</v>
      </c>
      <c r="M30" s="32">
        <f t="shared" si="22"/>
        <v>4110.3676664283303</v>
      </c>
      <c r="N30" s="8" t="s">
        <v>8</v>
      </c>
      <c r="O30" s="32">
        <f>M30+M32+M33</f>
        <v>11908.418319346707</v>
      </c>
    </row>
    <row r="31" spans="1:15" ht="14.25" x14ac:dyDescent="0.15">
      <c r="A31" s="8" t="s">
        <v>145</v>
      </c>
      <c r="B31" s="8" t="s">
        <v>7</v>
      </c>
      <c r="C31" s="9">
        <v>52</v>
      </c>
      <c r="D31" s="9">
        <v>53.146000000000001</v>
      </c>
      <c r="E31" s="10">
        <v>52.51</v>
      </c>
      <c r="F31" s="17">
        <f t="shared" si="18"/>
        <v>0.98803296579234556</v>
      </c>
      <c r="G31" s="12">
        <v>1</v>
      </c>
      <c r="H31" s="13" t="s">
        <v>35</v>
      </c>
      <c r="I31" s="13" t="s">
        <v>35</v>
      </c>
      <c r="J31" s="34">
        <f t="shared" si="19"/>
        <v>1600</v>
      </c>
      <c r="K31" s="9">
        <f t="shared" si="20"/>
        <v>1659.8953825311405</v>
      </c>
      <c r="L31" s="9">
        <f t="shared" si="21"/>
        <v>711.38373537048881</v>
      </c>
      <c r="M31" s="32">
        <f t="shared" si="22"/>
        <v>3971.2791179016294</v>
      </c>
      <c r="N31" s="8"/>
      <c r="O31" s="32">
        <f>SUM(O29:O30)</f>
        <v>20000</v>
      </c>
    </row>
    <row r="32" spans="1:15" ht="14.25" x14ac:dyDescent="0.15">
      <c r="A32" s="8" t="s">
        <v>146</v>
      </c>
      <c r="B32" s="8" t="s">
        <v>7</v>
      </c>
      <c r="C32" s="9">
        <v>50</v>
      </c>
      <c r="D32" s="9">
        <v>53.146000000000001</v>
      </c>
      <c r="E32" s="10">
        <v>51.04</v>
      </c>
      <c r="F32" s="17">
        <f t="shared" si="18"/>
        <v>0.96037331125578596</v>
      </c>
      <c r="G32" s="12">
        <v>2</v>
      </c>
      <c r="H32" s="13" t="s">
        <v>8</v>
      </c>
      <c r="I32" s="13" t="s">
        <v>8</v>
      </c>
      <c r="J32" s="34">
        <f t="shared" si="19"/>
        <v>1600</v>
      </c>
      <c r="K32" s="9">
        <f t="shared" si="20"/>
        <v>1613.4271629097202</v>
      </c>
      <c r="L32" s="9">
        <f t="shared" si="21"/>
        <v>691.46878410416593</v>
      </c>
      <c r="M32" s="32">
        <f t="shared" si="22"/>
        <v>3904.8959470138861</v>
      </c>
      <c r="N32" s="30"/>
      <c r="O32" s="30"/>
    </row>
    <row r="33" spans="1:15" ht="14.25" x14ac:dyDescent="0.15">
      <c r="A33" s="8" t="s">
        <v>144</v>
      </c>
      <c r="B33" s="8" t="s">
        <v>7</v>
      </c>
      <c r="C33" s="9">
        <v>43</v>
      </c>
      <c r="D33" s="9">
        <v>53.146000000000001</v>
      </c>
      <c r="E33" s="10">
        <v>50.78</v>
      </c>
      <c r="F33" s="17">
        <f t="shared" si="18"/>
        <v>0.95548112746020397</v>
      </c>
      <c r="G33" s="12">
        <v>3</v>
      </c>
      <c r="H33" s="13" t="s">
        <v>8</v>
      </c>
      <c r="I33" s="13" t="s">
        <v>8</v>
      </c>
      <c r="J33" s="34">
        <f t="shared" si="19"/>
        <v>1600</v>
      </c>
      <c r="K33" s="9">
        <f t="shared" si="20"/>
        <v>1605.2082941331425</v>
      </c>
      <c r="L33" s="9">
        <f t="shared" si="21"/>
        <v>687.9464117713469</v>
      </c>
      <c r="M33" s="32">
        <f t="shared" si="22"/>
        <v>3893.1547059044897</v>
      </c>
      <c r="N33" s="30"/>
      <c r="O33" s="30"/>
    </row>
    <row r="34" spans="1:15" ht="14.25" x14ac:dyDescent="0.15">
      <c r="A34" s="1"/>
      <c r="B34" s="1"/>
      <c r="C34" s="1"/>
      <c r="D34" s="2"/>
      <c r="E34" s="3">
        <f t="shared" ref="E34:M34" si="23">SUM(E29:E33)</f>
        <v>265.73</v>
      </c>
      <c r="F34" s="4">
        <f t="shared" si="23"/>
        <v>5</v>
      </c>
      <c r="G34" s="5"/>
      <c r="H34" s="6"/>
      <c r="I34" s="1"/>
      <c r="J34" s="1">
        <f t="shared" si="23"/>
        <v>8000</v>
      </c>
      <c r="K34" s="9">
        <f t="shared" si="23"/>
        <v>8400</v>
      </c>
      <c r="L34" s="9">
        <f t="shared" si="23"/>
        <v>3600.0000000000005</v>
      </c>
      <c r="M34" s="32">
        <f t="shared" si="23"/>
        <v>20000</v>
      </c>
      <c r="N34" s="30"/>
      <c r="O34" s="30"/>
    </row>
    <row r="35" spans="1:15" ht="14.25" x14ac:dyDescent="0.15">
      <c r="A35" s="1"/>
      <c r="B35" s="1"/>
      <c r="C35" s="1"/>
      <c r="D35" s="21"/>
      <c r="E35" s="22"/>
      <c r="F35" s="4"/>
      <c r="G35" s="21"/>
      <c r="H35" s="21"/>
      <c r="I35" s="25"/>
      <c r="J35" s="25"/>
      <c r="K35" s="25"/>
      <c r="L35" s="25"/>
      <c r="M35" s="29"/>
      <c r="N35" s="30"/>
      <c r="O35" s="30"/>
    </row>
    <row r="36" spans="1:15" ht="14.25" x14ac:dyDescent="0.15">
      <c r="A36" s="7" t="s">
        <v>94</v>
      </c>
      <c r="B36" s="7" t="s">
        <v>0</v>
      </c>
      <c r="C36" s="7" t="s">
        <v>132</v>
      </c>
      <c r="D36" s="7" t="s">
        <v>133</v>
      </c>
      <c r="E36" s="7" t="s">
        <v>100</v>
      </c>
      <c r="F36" s="7" t="s">
        <v>134</v>
      </c>
      <c r="G36" s="7" t="s">
        <v>135</v>
      </c>
      <c r="H36" s="7" t="s">
        <v>136</v>
      </c>
      <c r="I36" s="7" t="s">
        <v>137</v>
      </c>
      <c r="J36" s="8" t="s">
        <v>117</v>
      </c>
      <c r="K36" s="8" t="s">
        <v>138</v>
      </c>
      <c r="L36" s="8" t="s">
        <v>139</v>
      </c>
      <c r="M36" s="31" t="s">
        <v>140</v>
      </c>
      <c r="N36" s="149" t="s">
        <v>141</v>
      </c>
      <c r="O36" s="150"/>
    </row>
    <row r="37" spans="1:15" ht="14.25" x14ac:dyDescent="0.15">
      <c r="A37" s="8" t="s">
        <v>143</v>
      </c>
      <c r="B37" s="8" t="s">
        <v>21</v>
      </c>
      <c r="C37" s="9">
        <v>48</v>
      </c>
      <c r="D37" s="9">
        <v>66.680000000000007</v>
      </c>
      <c r="E37" s="10">
        <v>71.83</v>
      </c>
      <c r="F37" s="23">
        <f t="shared" ref="F37:F41" si="24">E37/D37</f>
        <v>1.0772345530893821</v>
      </c>
      <c r="G37" s="12">
        <v>1</v>
      </c>
      <c r="H37" s="13" t="s">
        <v>39</v>
      </c>
      <c r="I37" s="13" t="s">
        <v>39</v>
      </c>
      <c r="J37" s="9">
        <f t="shared" ref="J37:J41" si="25">8000/5</f>
        <v>1600</v>
      </c>
      <c r="K37" s="9">
        <f t="shared" ref="K37:K41" si="26">(12000*0.7/333.4)*E37</f>
        <v>1809.7540491901618</v>
      </c>
      <c r="L37" s="9">
        <f t="shared" ref="L37:L41" si="27">(12000*0.3/5)*F37</f>
        <v>775.60887822435507</v>
      </c>
      <c r="M37" s="32">
        <f t="shared" ref="M37:M41" si="28">J37+K37+L37</f>
        <v>4185.3629274145169</v>
      </c>
      <c r="N37" s="8" t="s">
        <v>39</v>
      </c>
      <c r="O37" s="32">
        <f>M37+M40</f>
        <v>8075.5848830233954</v>
      </c>
    </row>
    <row r="38" spans="1:15" ht="14.25" x14ac:dyDescent="0.15">
      <c r="A38" s="8" t="s">
        <v>142</v>
      </c>
      <c r="B38" s="8" t="s">
        <v>21</v>
      </c>
      <c r="C38" s="9">
        <v>48</v>
      </c>
      <c r="D38" s="9">
        <v>66.680000000000007</v>
      </c>
      <c r="E38" s="10">
        <v>68.430000000000007</v>
      </c>
      <c r="F38" s="23">
        <f t="shared" si="24"/>
        <v>1.0262447510497901</v>
      </c>
      <c r="G38" s="12">
        <v>2</v>
      </c>
      <c r="H38" s="13" t="s">
        <v>22</v>
      </c>
      <c r="I38" s="13" t="s">
        <v>22</v>
      </c>
      <c r="J38" s="9">
        <f t="shared" si="25"/>
        <v>1600</v>
      </c>
      <c r="K38" s="9">
        <f t="shared" si="26"/>
        <v>1724.0911817636475</v>
      </c>
      <c r="L38" s="9">
        <f t="shared" si="27"/>
        <v>738.89622075584884</v>
      </c>
      <c r="M38" s="32">
        <f t="shared" si="28"/>
        <v>4062.9874025194963</v>
      </c>
      <c r="N38" s="8" t="s">
        <v>22</v>
      </c>
      <c r="O38" s="32">
        <f>M38+M41+M39*0.5</f>
        <v>9934.1331733653278</v>
      </c>
    </row>
    <row r="39" spans="1:15" ht="14.25" x14ac:dyDescent="0.15">
      <c r="A39" s="8" t="s">
        <v>146</v>
      </c>
      <c r="B39" s="8" t="s">
        <v>21</v>
      </c>
      <c r="C39" s="9">
        <v>50</v>
      </c>
      <c r="D39" s="9">
        <v>66.680000000000007</v>
      </c>
      <c r="E39" s="10">
        <v>66.14</v>
      </c>
      <c r="F39" s="23">
        <f t="shared" si="24"/>
        <v>0.99190161967606472</v>
      </c>
      <c r="G39" s="12">
        <v>1</v>
      </c>
      <c r="H39" s="13" t="s">
        <v>80</v>
      </c>
      <c r="I39" s="13" t="s">
        <v>22</v>
      </c>
      <c r="J39" s="9">
        <f t="shared" si="25"/>
        <v>1600</v>
      </c>
      <c r="K39" s="9">
        <f t="shared" si="26"/>
        <v>1666.3947210557888</v>
      </c>
      <c r="L39" s="9">
        <f t="shared" si="27"/>
        <v>714.16916616676656</v>
      </c>
      <c r="M39" s="32">
        <f t="shared" si="28"/>
        <v>3980.5638872225554</v>
      </c>
      <c r="N39" s="8" t="s">
        <v>80</v>
      </c>
      <c r="O39" s="32">
        <f>M39*0.5</f>
        <v>1990.2819436112777</v>
      </c>
    </row>
    <row r="40" spans="1:15" ht="14.25" x14ac:dyDescent="0.15">
      <c r="A40" s="8" t="s">
        <v>144</v>
      </c>
      <c r="B40" s="8" t="s">
        <v>21</v>
      </c>
      <c r="C40" s="9">
        <v>43</v>
      </c>
      <c r="D40" s="9">
        <v>66.680000000000007</v>
      </c>
      <c r="E40" s="10">
        <v>63.63</v>
      </c>
      <c r="F40" s="23">
        <f t="shared" si="24"/>
        <v>0.95425914817036583</v>
      </c>
      <c r="G40" s="12">
        <v>2</v>
      </c>
      <c r="H40" s="13" t="s">
        <v>39</v>
      </c>
      <c r="I40" s="13" t="s">
        <v>39</v>
      </c>
      <c r="J40" s="9">
        <f t="shared" si="25"/>
        <v>1600</v>
      </c>
      <c r="K40" s="9">
        <f t="shared" si="26"/>
        <v>1603.1553689262148</v>
      </c>
      <c r="L40" s="9">
        <f t="shared" si="27"/>
        <v>687.06658668266346</v>
      </c>
      <c r="M40" s="32">
        <f t="shared" si="28"/>
        <v>3890.221955608878</v>
      </c>
      <c r="N40" s="8"/>
      <c r="O40" s="32">
        <f>SUM(O37:O39)</f>
        <v>20000</v>
      </c>
    </row>
    <row r="41" spans="1:15" ht="14.25" x14ac:dyDescent="0.15">
      <c r="A41" s="8" t="s">
        <v>145</v>
      </c>
      <c r="B41" s="8" t="s">
        <v>21</v>
      </c>
      <c r="C41" s="9">
        <v>52</v>
      </c>
      <c r="D41" s="9">
        <v>66.680000000000007</v>
      </c>
      <c r="E41" s="10">
        <v>63.37</v>
      </c>
      <c r="F41" s="23">
        <f t="shared" si="24"/>
        <v>0.95035992801439695</v>
      </c>
      <c r="G41" s="12">
        <v>3</v>
      </c>
      <c r="H41" s="13" t="s">
        <v>22</v>
      </c>
      <c r="I41" s="13" t="s">
        <v>22</v>
      </c>
      <c r="J41" s="9">
        <f t="shared" si="25"/>
        <v>1600</v>
      </c>
      <c r="K41" s="9">
        <f t="shared" si="26"/>
        <v>1596.6046790641872</v>
      </c>
      <c r="L41" s="9">
        <f t="shared" si="27"/>
        <v>684.25914817036585</v>
      </c>
      <c r="M41" s="32">
        <f t="shared" si="28"/>
        <v>3880.8638272345529</v>
      </c>
      <c r="N41" s="30"/>
      <c r="O41" s="30"/>
    </row>
    <row r="42" spans="1:15" ht="14.25" x14ac:dyDescent="0.15">
      <c r="A42" s="1"/>
      <c r="B42" s="1"/>
      <c r="C42" s="1"/>
      <c r="D42" s="2"/>
      <c r="E42" s="3">
        <f t="shared" ref="E42:M42" si="29">SUM(E37:E41)</f>
        <v>333.4</v>
      </c>
      <c r="F42" s="24">
        <f t="shared" si="29"/>
        <v>4.9999999999999991</v>
      </c>
      <c r="G42" s="5"/>
      <c r="H42" s="6"/>
      <c r="I42" s="1"/>
      <c r="J42" s="9">
        <f t="shared" si="29"/>
        <v>8000</v>
      </c>
      <c r="K42" s="9">
        <f t="shared" si="29"/>
        <v>8400</v>
      </c>
      <c r="L42" s="9">
        <f t="shared" si="29"/>
        <v>3599.9999999999995</v>
      </c>
      <c r="M42" s="32">
        <f t="shared" si="29"/>
        <v>20000</v>
      </c>
      <c r="N42" s="30"/>
      <c r="O42" s="30"/>
    </row>
    <row r="43" spans="1:15" ht="14.25" x14ac:dyDescent="0.15">
      <c r="A43" s="1"/>
      <c r="B43" s="1"/>
      <c r="C43" s="1"/>
      <c r="D43" s="21"/>
      <c r="E43" s="22" t="s">
        <v>147</v>
      </c>
      <c r="F43" s="25"/>
      <c r="G43" s="21"/>
      <c r="H43" s="21"/>
      <c r="I43" s="25"/>
      <c r="J43" s="25"/>
      <c r="K43" s="25"/>
      <c r="L43" s="25"/>
      <c r="M43" s="29"/>
      <c r="N43" s="30"/>
      <c r="O43" s="30"/>
    </row>
    <row r="44" spans="1:15" ht="14.25" x14ac:dyDescent="0.15">
      <c r="A44" s="7" t="s">
        <v>94</v>
      </c>
      <c r="B44" s="7" t="s">
        <v>0</v>
      </c>
      <c r="C44" s="7" t="s">
        <v>132</v>
      </c>
      <c r="D44" s="7" t="s">
        <v>133</v>
      </c>
      <c r="E44" s="7" t="s">
        <v>100</v>
      </c>
      <c r="F44" s="7" t="s">
        <v>134</v>
      </c>
      <c r="G44" s="7" t="s">
        <v>135</v>
      </c>
      <c r="H44" s="7" t="s">
        <v>136</v>
      </c>
      <c r="I44" s="7" t="s">
        <v>137</v>
      </c>
      <c r="J44" s="8" t="s">
        <v>117</v>
      </c>
      <c r="K44" s="8" t="s">
        <v>138</v>
      </c>
      <c r="L44" s="8" t="s">
        <v>139</v>
      </c>
      <c r="M44" s="31" t="s">
        <v>140</v>
      </c>
      <c r="N44" s="149" t="s">
        <v>141</v>
      </c>
      <c r="O44" s="150"/>
    </row>
    <row r="45" spans="1:15" ht="14.25" x14ac:dyDescent="0.15">
      <c r="A45" s="8" t="s">
        <v>142</v>
      </c>
      <c r="B45" s="8" t="s">
        <v>15</v>
      </c>
      <c r="C45" s="9">
        <v>48</v>
      </c>
      <c r="D45" s="26">
        <v>53.96</v>
      </c>
      <c r="E45" s="10">
        <v>57.68</v>
      </c>
      <c r="F45" s="17">
        <f t="shared" ref="F45:F49" si="30">E45/D45</f>
        <v>1.0689399555226093</v>
      </c>
      <c r="G45" s="12">
        <v>1</v>
      </c>
      <c r="H45" s="13" t="s">
        <v>16</v>
      </c>
      <c r="I45" s="13" t="s">
        <v>16</v>
      </c>
      <c r="J45" s="9">
        <f t="shared" ref="J45:J49" si="31">13600*0.4/5</f>
        <v>1088</v>
      </c>
      <c r="K45" s="9">
        <f t="shared" ref="K45:K49" si="32">(8160*0.7/269.8)*E45</f>
        <v>1221.1570051890287</v>
      </c>
      <c r="L45" s="9">
        <f t="shared" ref="L45:L49" si="33">(8160*0.3/5)*F45</f>
        <v>523.35300222386957</v>
      </c>
      <c r="M45" s="32">
        <f t="shared" ref="M45:M49" si="34">J45+K45+L45</f>
        <v>2832.5100074128982</v>
      </c>
      <c r="N45" s="8" t="s">
        <v>16</v>
      </c>
      <c r="O45" s="32">
        <f>M45+M47+M48</f>
        <v>8235.0066716085985</v>
      </c>
    </row>
    <row r="46" spans="1:15" ht="14.25" x14ac:dyDescent="0.15">
      <c r="A46" s="8" t="s">
        <v>143</v>
      </c>
      <c r="B46" s="8" t="s">
        <v>15</v>
      </c>
      <c r="C46" s="9">
        <v>48</v>
      </c>
      <c r="D46" s="9">
        <v>53.96</v>
      </c>
      <c r="E46" s="10">
        <v>55.13</v>
      </c>
      <c r="F46" s="17">
        <f t="shared" si="30"/>
        <v>1.0216827279466272</v>
      </c>
      <c r="G46" s="12">
        <v>2</v>
      </c>
      <c r="H46" s="13" t="s">
        <v>56</v>
      </c>
      <c r="I46" s="13" t="s">
        <v>56</v>
      </c>
      <c r="J46" s="9">
        <f t="shared" si="31"/>
        <v>1088</v>
      </c>
      <c r="K46" s="9">
        <f t="shared" si="32"/>
        <v>1167.1703484062268</v>
      </c>
      <c r="L46" s="9">
        <f t="shared" si="33"/>
        <v>500.21586360266866</v>
      </c>
      <c r="M46" s="32">
        <f t="shared" si="34"/>
        <v>2755.3862120088957</v>
      </c>
      <c r="N46" s="8" t="s">
        <v>56</v>
      </c>
      <c r="O46" s="32">
        <f>M46+M49</f>
        <v>5364.9933283914015</v>
      </c>
    </row>
    <row r="47" spans="1:15" ht="14.25" x14ac:dyDescent="0.15">
      <c r="A47" s="8" t="s">
        <v>146</v>
      </c>
      <c r="B47" s="8" t="s">
        <v>15</v>
      </c>
      <c r="C47" s="9">
        <v>50</v>
      </c>
      <c r="D47" s="26">
        <v>53.96</v>
      </c>
      <c r="E47" s="10">
        <v>54.14</v>
      </c>
      <c r="F47" s="17">
        <f t="shared" si="30"/>
        <v>1.0033358042994811</v>
      </c>
      <c r="G47" s="12">
        <v>1</v>
      </c>
      <c r="H47" s="13" t="s">
        <v>16</v>
      </c>
      <c r="I47" s="13" t="s">
        <v>16</v>
      </c>
      <c r="J47" s="9">
        <f t="shared" si="31"/>
        <v>1088</v>
      </c>
      <c r="K47" s="9">
        <f t="shared" si="32"/>
        <v>1146.210822831727</v>
      </c>
      <c r="L47" s="9">
        <f t="shared" si="33"/>
        <v>491.23320978502596</v>
      </c>
      <c r="M47" s="32">
        <f t="shared" si="34"/>
        <v>2725.4440326167528</v>
      </c>
      <c r="N47" s="8"/>
      <c r="O47" s="32">
        <f>SUM(O45:O46)</f>
        <v>13600</v>
      </c>
    </row>
    <row r="48" spans="1:15" ht="14.25" x14ac:dyDescent="0.15">
      <c r="A48" s="8" t="s">
        <v>144</v>
      </c>
      <c r="B48" s="8" t="s">
        <v>15</v>
      </c>
      <c r="C48" s="9">
        <v>43</v>
      </c>
      <c r="D48" s="9">
        <v>53.96</v>
      </c>
      <c r="E48" s="10">
        <v>52.54</v>
      </c>
      <c r="F48" s="17">
        <f t="shared" si="30"/>
        <v>0.97368421052631571</v>
      </c>
      <c r="G48" s="12">
        <v>2</v>
      </c>
      <c r="H48" s="13" t="s">
        <v>16</v>
      </c>
      <c r="I48" s="13" t="s">
        <v>16</v>
      </c>
      <c r="J48" s="9">
        <f t="shared" si="31"/>
        <v>1088</v>
      </c>
      <c r="K48" s="9">
        <f t="shared" si="32"/>
        <v>1112.336842105263</v>
      </c>
      <c r="L48" s="9">
        <f t="shared" si="33"/>
        <v>476.7157894736842</v>
      </c>
      <c r="M48" s="32">
        <f t="shared" si="34"/>
        <v>2677.0526315789471</v>
      </c>
      <c r="N48" s="30"/>
      <c r="O48" s="30"/>
    </row>
    <row r="49" spans="1:15" ht="14.25" x14ac:dyDescent="0.15">
      <c r="A49" s="8" t="s">
        <v>145</v>
      </c>
      <c r="B49" s="8" t="s">
        <v>15</v>
      </c>
      <c r="C49" s="9">
        <v>52</v>
      </c>
      <c r="D49" s="26">
        <v>53.96</v>
      </c>
      <c r="E49" s="10">
        <v>50.31</v>
      </c>
      <c r="F49" s="17">
        <f t="shared" si="30"/>
        <v>0.93235730170496667</v>
      </c>
      <c r="G49" s="12">
        <v>3</v>
      </c>
      <c r="H49" s="13" t="s">
        <v>56</v>
      </c>
      <c r="I49" s="13" t="s">
        <v>56</v>
      </c>
      <c r="J49" s="9">
        <f t="shared" si="31"/>
        <v>1088</v>
      </c>
      <c r="K49" s="9">
        <f t="shared" si="32"/>
        <v>1065.1249814677537</v>
      </c>
      <c r="L49" s="9">
        <f t="shared" si="33"/>
        <v>456.48213491475173</v>
      </c>
      <c r="M49" s="32">
        <f t="shared" si="34"/>
        <v>2609.6071163825059</v>
      </c>
      <c r="N49" s="30"/>
      <c r="O49" s="30"/>
    </row>
    <row r="50" spans="1:15" ht="14.25" x14ac:dyDescent="0.15">
      <c r="A50" s="1"/>
      <c r="B50" s="25"/>
      <c r="C50" s="25"/>
      <c r="D50" s="25"/>
      <c r="E50" s="25">
        <f t="shared" ref="E50:M50" si="35">SUM(E45:E49)</f>
        <v>269.79999999999995</v>
      </c>
      <c r="F50" s="25">
        <f t="shared" si="35"/>
        <v>5</v>
      </c>
      <c r="G50" s="25"/>
      <c r="H50" s="1"/>
      <c r="I50" s="1"/>
      <c r="J50" s="9">
        <f t="shared" si="35"/>
        <v>5440</v>
      </c>
      <c r="K50" s="9">
        <f t="shared" si="35"/>
        <v>5712</v>
      </c>
      <c r="L50" s="9">
        <f t="shared" si="35"/>
        <v>2448.0000000000005</v>
      </c>
      <c r="M50" s="32">
        <f t="shared" si="35"/>
        <v>13599.999999999998</v>
      </c>
      <c r="N50" s="30"/>
      <c r="O50" s="30"/>
    </row>
    <row r="51" spans="1:15" ht="14.25" x14ac:dyDescent="0.15">
      <c r="A51" s="27"/>
      <c r="B51" s="28"/>
      <c r="C51" s="28"/>
      <c r="D51" s="28"/>
      <c r="E51" s="28"/>
      <c r="F51" s="28"/>
      <c r="G51" s="28"/>
      <c r="H51" s="27"/>
      <c r="I51" s="28"/>
      <c r="J51" s="28"/>
      <c r="K51" s="28"/>
      <c r="L51" s="28"/>
      <c r="M51" s="30"/>
      <c r="N51" s="30"/>
      <c r="O51" s="30"/>
    </row>
    <row r="52" spans="1:15" ht="20.25" x14ac:dyDescent="0.15">
      <c r="A52" s="148" t="s">
        <v>148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30"/>
    </row>
    <row r="53" spans="1:15" ht="14.25" x14ac:dyDescent="0.15">
      <c r="A53" s="7" t="s">
        <v>94</v>
      </c>
      <c r="B53" s="7" t="s">
        <v>0</v>
      </c>
      <c r="C53" s="7" t="s">
        <v>132</v>
      </c>
      <c r="D53" s="7" t="s">
        <v>133</v>
      </c>
      <c r="E53" s="7" t="s">
        <v>100</v>
      </c>
      <c r="F53" s="7" t="s">
        <v>134</v>
      </c>
      <c r="G53" s="7" t="s">
        <v>135</v>
      </c>
      <c r="H53" s="7" t="s">
        <v>136</v>
      </c>
      <c r="I53" s="7" t="s">
        <v>137</v>
      </c>
      <c r="J53" s="8" t="s">
        <v>117</v>
      </c>
      <c r="K53" s="8" t="s">
        <v>149</v>
      </c>
      <c r="L53" s="8" t="s">
        <v>150</v>
      </c>
      <c r="M53" s="149" t="s">
        <v>151</v>
      </c>
      <c r="N53" s="150"/>
      <c r="O53" s="30"/>
    </row>
    <row r="54" spans="1:15" ht="14.25" x14ac:dyDescent="0.15">
      <c r="A54" s="8" t="s">
        <v>142</v>
      </c>
      <c r="B54" s="8" t="s">
        <v>25</v>
      </c>
      <c r="C54" s="9">
        <v>48</v>
      </c>
      <c r="D54" s="9">
        <v>93.135999999999996</v>
      </c>
      <c r="E54" s="10">
        <v>96.98</v>
      </c>
      <c r="F54" s="11">
        <f t="shared" ref="F54:F58" si="36">E54/D54</f>
        <v>1.0412729771516922</v>
      </c>
      <c r="G54" s="12">
        <v>1</v>
      </c>
      <c r="H54" s="13" t="s">
        <v>32</v>
      </c>
      <c r="I54" s="13" t="s">
        <v>32</v>
      </c>
      <c r="J54" s="9">
        <f t="shared" ref="J54:J58" si="37">6400/5</f>
        <v>1280</v>
      </c>
      <c r="K54" s="9">
        <f>16000*0.6*0.5*0.55</f>
        <v>2640</v>
      </c>
      <c r="L54" s="9">
        <f t="shared" ref="L54:L58" si="38">J54+K54</f>
        <v>3920</v>
      </c>
      <c r="M54" s="13" t="s">
        <v>32</v>
      </c>
      <c r="N54" s="32">
        <f>L54</f>
        <v>3920</v>
      </c>
      <c r="O54" s="30"/>
    </row>
    <row r="55" spans="1:15" ht="14.25" x14ac:dyDescent="0.15">
      <c r="A55" s="8" t="s">
        <v>143</v>
      </c>
      <c r="B55" s="8" t="s">
        <v>25</v>
      </c>
      <c r="C55" s="9">
        <v>48</v>
      </c>
      <c r="D55" s="9">
        <v>93.135999999999996</v>
      </c>
      <c r="E55" s="10">
        <v>96.56</v>
      </c>
      <c r="F55" s="11">
        <f t="shared" si="36"/>
        <v>1.0367634427074386</v>
      </c>
      <c r="G55" s="12">
        <v>2</v>
      </c>
      <c r="H55" s="13" t="s">
        <v>26</v>
      </c>
      <c r="I55" s="13" t="s">
        <v>26</v>
      </c>
      <c r="J55" s="9">
        <f t="shared" si="37"/>
        <v>1280</v>
      </c>
      <c r="K55" s="9">
        <f>16000*0.6*0.5*0.45</f>
        <v>2160</v>
      </c>
      <c r="L55" s="9">
        <f t="shared" si="38"/>
        <v>3440</v>
      </c>
      <c r="M55" s="13" t="s">
        <v>26</v>
      </c>
      <c r="N55" s="32">
        <f>L55+L57</f>
        <v>6304</v>
      </c>
      <c r="O55" s="30"/>
    </row>
    <row r="56" spans="1:15" ht="14.25" x14ac:dyDescent="0.15">
      <c r="A56" s="8" t="s">
        <v>144</v>
      </c>
      <c r="B56" s="8" t="s">
        <v>25</v>
      </c>
      <c r="C56" s="9">
        <v>43</v>
      </c>
      <c r="D56" s="9">
        <v>93.135999999999996</v>
      </c>
      <c r="E56" s="10">
        <v>91.61</v>
      </c>
      <c r="F56" s="11">
        <f t="shared" si="36"/>
        <v>0.98361535818587875</v>
      </c>
      <c r="G56" s="12">
        <v>1</v>
      </c>
      <c r="H56" s="13" t="s">
        <v>57</v>
      </c>
      <c r="I56" s="13" t="s">
        <v>78</v>
      </c>
      <c r="J56" s="9">
        <f t="shared" si="37"/>
        <v>1280</v>
      </c>
      <c r="K56" s="9">
        <f>16000*0.6*0.5*0.43</f>
        <v>2064</v>
      </c>
      <c r="L56" s="9">
        <f t="shared" si="38"/>
        <v>3344</v>
      </c>
      <c r="M56" s="13" t="s">
        <v>57</v>
      </c>
      <c r="N56" s="32">
        <f>L56*0.5</f>
        <v>1672</v>
      </c>
      <c r="O56" s="30"/>
    </row>
    <row r="57" spans="1:15" ht="14.25" x14ac:dyDescent="0.15">
      <c r="A57" s="8" t="s">
        <v>145</v>
      </c>
      <c r="B57" s="8" t="s">
        <v>25</v>
      </c>
      <c r="C57" s="9">
        <v>52</v>
      </c>
      <c r="D57" s="9">
        <v>93.135999999999996</v>
      </c>
      <c r="E57" s="10">
        <v>90.29</v>
      </c>
      <c r="F57" s="11">
        <f t="shared" si="36"/>
        <v>0.96944253564679617</v>
      </c>
      <c r="G57" s="12">
        <v>2</v>
      </c>
      <c r="H57" s="13" t="s">
        <v>26</v>
      </c>
      <c r="I57" s="13" t="s">
        <v>26</v>
      </c>
      <c r="J57" s="9">
        <f t="shared" si="37"/>
        <v>1280</v>
      </c>
      <c r="K57" s="9">
        <f>16000*0.6*0.5*0.33</f>
        <v>1584</v>
      </c>
      <c r="L57" s="9">
        <f t="shared" si="38"/>
        <v>2864</v>
      </c>
      <c r="M57" s="13" t="s">
        <v>78</v>
      </c>
      <c r="N57" s="32">
        <f>L56*0.5</f>
        <v>1672</v>
      </c>
      <c r="O57" s="30"/>
    </row>
    <row r="58" spans="1:15" ht="14.25" x14ac:dyDescent="0.15">
      <c r="A58" s="8" t="s">
        <v>146</v>
      </c>
      <c r="B58" s="8" t="s">
        <v>25</v>
      </c>
      <c r="C58" s="9">
        <v>50</v>
      </c>
      <c r="D58" s="9">
        <v>93.135999999999996</v>
      </c>
      <c r="E58" s="10">
        <v>90.24</v>
      </c>
      <c r="F58" s="11">
        <f t="shared" si="36"/>
        <v>0.96890568630819451</v>
      </c>
      <c r="G58" s="12">
        <v>3</v>
      </c>
      <c r="H58" s="13" t="s">
        <v>41</v>
      </c>
      <c r="I58" s="13" t="s">
        <v>41</v>
      </c>
      <c r="J58" s="9">
        <f t="shared" si="37"/>
        <v>1280</v>
      </c>
      <c r="K58" s="9">
        <f>16000*0.6*0.5*0.24</f>
        <v>1152</v>
      </c>
      <c r="L58" s="9">
        <f t="shared" si="38"/>
        <v>2432</v>
      </c>
      <c r="M58" s="13" t="s">
        <v>41</v>
      </c>
      <c r="N58" s="32">
        <f t="shared" ref="N58:N63" si="39">L58</f>
        <v>2432</v>
      </c>
      <c r="O58" s="30"/>
    </row>
    <row r="59" spans="1:15" ht="14.25" x14ac:dyDescent="0.15">
      <c r="A59" s="1"/>
      <c r="B59" s="1"/>
      <c r="C59" s="1"/>
      <c r="D59" s="2"/>
      <c r="E59" s="3">
        <f t="shared" ref="E59:J59" si="40">SUM(E54:E58)</f>
        <v>465.68000000000006</v>
      </c>
      <c r="F59" s="14">
        <f t="shared" si="40"/>
        <v>5</v>
      </c>
      <c r="G59" s="5"/>
      <c r="H59" s="6"/>
      <c r="I59" s="1"/>
      <c r="J59" s="9">
        <f t="shared" si="40"/>
        <v>6400</v>
      </c>
      <c r="K59" s="9">
        <f>(9600*0.7/465.68)*E59</f>
        <v>6720.0000000000009</v>
      </c>
      <c r="L59" s="9">
        <f>SUM(L54:L58)</f>
        <v>16000</v>
      </c>
      <c r="M59" s="30"/>
      <c r="N59" s="32">
        <f>SUM(N54:N58)</f>
        <v>16000</v>
      </c>
      <c r="O59" s="30"/>
    </row>
    <row r="60" spans="1:15" ht="14.25" x14ac:dyDescent="0.15">
      <c r="A60" s="27"/>
      <c r="B60" s="28"/>
      <c r="C60" s="28"/>
      <c r="D60" s="28"/>
      <c r="E60" s="28"/>
      <c r="F60" s="28"/>
      <c r="G60" s="28"/>
      <c r="H60" s="27"/>
      <c r="I60" s="28"/>
      <c r="J60" s="28"/>
      <c r="K60" s="28"/>
      <c r="L60" s="28"/>
      <c r="M60" s="30"/>
      <c r="N60" s="30"/>
      <c r="O60" s="30"/>
    </row>
    <row r="61" spans="1:15" ht="14.25" x14ac:dyDescent="0.15">
      <c r="A61" s="7" t="s">
        <v>94</v>
      </c>
      <c r="B61" s="7" t="s">
        <v>0</v>
      </c>
      <c r="C61" s="7" t="s">
        <v>132</v>
      </c>
      <c r="D61" s="7" t="s">
        <v>133</v>
      </c>
      <c r="E61" s="7" t="s">
        <v>100</v>
      </c>
      <c r="F61" s="7" t="s">
        <v>134</v>
      </c>
      <c r="G61" s="7" t="s">
        <v>135</v>
      </c>
      <c r="H61" s="7" t="s">
        <v>136</v>
      </c>
      <c r="I61" s="7" t="s">
        <v>137</v>
      </c>
      <c r="J61" s="8" t="s">
        <v>117</v>
      </c>
      <c r="K61" s="8" t="s">
        <v>149</v>
      </c>
      <c r="L61" s="8" t="s">
        <v>150</v>
      </c>
      <c r="M61" s="149" t="s">
        <v>151</v>
      </c>
      <c r="N61" s="150"/>
      <c r="O61" s="30"/>
    </row>
    <row r="62" spans="1:15" ht="20.25" x14ac:dyDescent="0.25">
      <c r="A62" s="16" t="s">
        <v>143</v>
      </c>
      <c r="B62" s="8" t="s">
        <v>42</v>
      </c>
      <c r="C62" s="9">
        <v>48</v>
      </c>
      <c r="D62" s="9">
        <v>71.908000000000001</v>
      </c>
      <c r="E62" s="10">
        <v>89.94</v>
      </c>
      <c r="F62" s="17">
        <f t="shared" ref="F62:F66" si="41">E62/D62</f>
        <v>1.2507648662179451</v>
      </c>
      <c r="G62" s="12">
        <v>1</v>
      </c>
      <c r="H62" s="13" t="s">
        <v>51</v>
      </c>
      <c r="I62" s="13" t="s">
        <v>51</v>
      </c>
      <c r="J62" s="9">
        <f t="shared" ref="J62:J66" si="42">4800/5</f>
        <v>960</v>
      </c>
      <c r="K62" s="9">
        <f>12000*0.6*0.5*0.55</f>
        <v>1980.0000000000002</v>
      </c>
      <c r="L62" s="9">
        <f t="shared" ref="L62:L66" si="43">J62+K62</f>
        <v>2940</v>
      </c>
      <c r="M62" s="8" t="s">
        <v>51</v>
      </c>
      <c r="N62" s="32">
        <f t="shared" si="39"/>
        <v>2940</v>
      </c>
      <c r="O62" s="30"/>
    </row>
    <row r="63" spans="1:15" ht="20.25" x14ac:dyDescent="0.25">
      <c r="A63" s="16" t="s">
        <v>142</v>
      </c>
      <c r="B63" s="8" t="s">
        <v>42</v>
      </c>
      <c r="C63" s="9">
        <v>48</v>
      </c>
      <c r="D63" s="9">
        <v>71.908000000000001</v>
      </c>
      <c r="E63" s="10">
        <v>83.36</v>
      </c>
      <c r="F63" s="17">
        <f t="shared" si="41"/>
        <v>1.1592590532346887</v>
      </c>
      <c r="G63" s="12">
        <v>2</v>
      </c>
      <c r="H63" s="13" t="s">
        <v>55</v>
      </c>
      <c r="I63" s="13" t="s">
        <v>55</v>
      </c>
      <c r="J63" s="9">
        <f t="shared" si="42"/>
        <v>960</v>
      </c>
      <c r="K63" s="9">
        <f>12000*0.6*0.5*0.45</f>
        <v>1620</v>
      </c>
      <c r="L63" s="9">
        <f t="shared" si="43"/>
        <v>2580</v>
      </c>
      <c r="M63" s="8" t="s">
        <v>55</v>
      </c>
      <c r="N63" s="32">
        <f t="shared" si="39"/>
        <v>2580</v>
      </c>
      <c r="O63" s="30"/>
    </row>
    <row r="64" spans="1:15" ht="20.25" x14ac:dyDescent="0.25">
      <c r="A64" s="16" t="s">
        <v>144</v>
      </c>
      <c r="B64" s="8" t="s">
        <v>42</v>
      </c>
      <c r="C64" s="9">
        <v>43</v>
      </c>
      <c r="D64" s="9">
        <v>71.908000000000001</v>
      </c>
      <c r="E64" s="10">
        <v>65.28</v>
      </c>
      <c r="F64" s="17">
        <f t="shared" si="41"/>
        <v>0.90782666740835516</v>
      </c>
      <c r="G64" s="12">
        <v>1</v>
      </c>
      <c r="H64" s="13" t="s">
        <v>43</v>
      </c>
      <c r="I64" s="13" t="s">
        <v>43</v>
      </c>
      <c r="J64" s="9">
        <f t="shared" si="42"/>
        <v>960</v>
      </c>
      <c r="K64" s="9">
        <f>12000*0.6*0.5*0.43</f>
        <v>1548</v>
      </c>
      <c r="L64" s="9">
        <f t="shared" si="43"/>
        <v>2508</v>
      </c>
      <c r="M64" s="8" t="s">
        <v>43</v>
      </c>
      <c r="N64" s="32">
        <f>L64+L65</f>
        <v>4656</v>
      </c>
      <c r="O64" s="30"/>
    </row>
    <row r="65" spans="1:15" ht="20.25" x14ac:dyDescent="0.25">
      <c r="A65" s="16" t="s">
        <v>146</v>
      </c>
      <c r="B65" s="8" t="s">
        <v>42</v>
      </c>
      <c r="C65" s="9">
        <v>50</v>
      </c>
      <c r="D65" s="9">
        <v>71.908000000000001</v>
      </c>
      <c r="E65" s="10">
        <v>64.349999999999994</v>
      </c>
      <c r="F65" s="17">
        <f t="shared" si="41"/>
        <v>0.89489347499582794</v>
      </c>
      <c r="G65" s="12">
        <v>2</v>
      </c>
      <c r="H65" s="13" t="s">
        <v>43</v>
      </c>
      <c r="I65" s="13" t="s">
        <v>43</v>
      </c>
      <c r="J65" s="9">
        <f t="shared" si="42"/>
        <v>960</v>
      </c>
      <c r="K65" s="9">
        <f>12000*0.6*0.5*0.33</f>
        <v>1188</v>
      </c>
      <c r="L65" s="9">
        <f t="shared" si="43"/>
        <v>2148</v>
      </c>
      <c r="M65" s="8" t="s">
        <v>77</v>
      </c>
      <c r="N65" s="32">
        <f>L66*0.5</f>
        <v>912</v>
      </c>
      <c r="O65" s="30"/>
    </row>
    <row r="66" spans="1:15" ht="20.25" x14ac:dyDescent="0.25">
      <c r="A66" s="16" t="s">
        <v>145</v>
      </c>
      <c r="B66" s="8" t="s">
        <v>42</v>
      </c>
      <c r="C66" s="9">
        <v>52</v>
      </c>
      <c r="D66" s="9">
        <v>71.908000000000001</v>
      </c>
      <c r="E66" s="10">
        <v>56.61</v>
      </c>
      <c r="F66" s="17">
        <f t="shared" si="41"/>
        <v>0.78725593814318295</v>
      </c>
      <c r="G66" s="12">
        <v>3</v>
      </c>
      <c r="H66" s="13" t="s">
        <v>77</v>
      </c>
      <c r="I66" s="13" t="s">
        <v>82</v>
      </c>
      <c r="J66" s="9">
        <f t="shared" si="42"/>
        <v>960</v>
      </c>
      <c r="K66" s="9">
        <f>12000*0.6*0.5*0.24</f>
        <v>864</v>
      </c>
      <c r="L66" s="9">
        <f t="shared" si="43"/>
        <v>1824</v>
      </c>
      <c r="M66" s="8" t="s">
        <v>82</v>
      </c>
      <c r="N66" s="32">
        <f>L66*0.5</f>
        <v>912</v>
      </c>
      <c r="O66" s="30"/>
    </row>
    <row r="67" spans="1:15" ht="14.25" x14ac:dyDescent="0.15">
      <c r="A67" s="1"/>
      <c r="B67" s="1"/>
      <c r="C67" s="1"/>
      <c r="D67" s="2"/>
      <c r="E67" s="3">
        <f t="shared" ref="E67:L67" si="44">SUM(E62:E66)</f>
        <v>359.54</v>
      </c>
      <c r="F67" s="14">
        <f t="shared" si="44"/>
        <v>5</v>
      </c>
      <c r="G67" s="5"/>
      <c r="H67" s="6"/>
      <c r="I67" s="1"/>
      <c r="J67" s="9">
        <f t="shared" si="44"/>
        <v>4800</v>
      </c>
      <c r="K67" s="9">
        <f t="shared" si="44"/>
        <v>7200</v>
      </c>
      <c r="L67" s="9">
        <f t="shared" si="44"/>
        <v>12000</v>
      </c>
      <c r="M67" s="8"/>
      <c r="N67" s="32">
        <f>SUM(N62:N66)</f>
        <v>12000</v>
      </c>
      <c r="O67" s="30"/>
    </row>
    <row r="68" spans="1:15" ht="14.25" x14ac:dyDescent="0.15">
      <c r="A68" s="27"/>
      <c r="B68" s="28"/>
      <c r="C68" s="28"/>
      <c r="D68" s="28"/>
      <c r="E68" s="28"/>
      <c r="F68" s="28"/>
      <c r="G68" s="28"/>
      <c r="H68" s="27"/>
      <c r="I68" s="28"/>
      <c r="J68" s="28"/>
      <c r="K68" s="28"/>
      <c r="L68" s="28"/>
      <c r="M68" s="30"/>
      <c r="N68" s="30"/>
      <c r="O68" s="30"/>
    </row>
    <row r="69" spans="1:15" ht="14.25" x14ac:dyDescent="0.15">
      <c r="A69" s="7" t="s">
        <v>94</v>
      </c>
      <c r="B69" s="7" t="s">
        <v>0</v>
      </c>
      <c r="C69" s="7" t="s">
        <v>132</v>
      </c>
      <c r="D69" s="7" t="s">
        <v>133</v>
      </c>
      <c r="E69" s="7" t="s">
        <v>100</v>
      </c>
      <c r="F69" s="7" t="s">
        <v>134</v>
      </c>
      <c r="G69" s="7" t="s">
        <v>135</v>
      </c>
      <c r="H69" s="7" t="s">
        <v>136</v>
      </c>
      <c r="I69" s="7" t="s">
        <v>137</v>
      </c>
      <c r="J69" s="8" t="s">
        <v>117</v>
      </c>
      <c r="K69" s="8" t="s">
        <v>149</v>
      </c>
      <c r="L69" s="8" t="s">
        <v>150</v>
      </c>
      <c r="M69" s="149" t="s">
        <v>151</v>
      </c>
      <c r="N69" s="150"/>
      <c r="O69" s="30"/>
    </row>
    <row r="70" spans="1:15" ht="14.25" x14ac:dyDescent="0.15">
      <c r="A70" s="8" t="s">
        <v>142</v>
      </c>
      <c r="B70" s="8" t="s">
        <v>7</v>
      </c>
      <c r="C70" s="9">
        <v>48</v>
      </c>
      <c r="D70" s="9">
        <v>53.146000000000001</v>
      </c>
      <c r="E70" s="10">
        <v>55.81</v>
      </c>
      <c r="F70" s="17">
        <f t="shared" ref="F70:F74" si="45">E70/D70</f>
        <v>1.0501260678131938</v>
      </c>
      <c r="G70" s="12">
        <v>1</v>
      </c>
      <c r="H70" s="13" t="s">
        <v>35</v>
      </c>
      <c r="I70" s="13" t="s">
        <v>35</v>
      </c>
      <c r="J70" s="9">
        <f t="shared" ref="J70:J74" si="46">3520/5</f>
        <v>704</v>
      </c>
      <c r="K70" s="9">
        <f>8800*0.6*0.5*0.55</f>
        <v>1452.0000000000002</v>
      </c>
      <c r="L70" s="9">
        <f t="shared" ref="L70:L74" si="47">J70+K70</f>
        <v>2156</v>
      </c>
      <c r="M70" s="8" t="s">
        <v>35</v>
      </c>
      <c r="N70" s="32">
        <f>L70+L72</f>
        <v>3995.2</v>
      </c>
      <c r="O70" s="30"/>
    </row>
    <row r="71" spans="1:15" ht="14.25" x14ac:dyDescent="0.15">
      <c r="A71" s="8" t="s">
        <v>143</v>
      </c>
      <c r="B71" s="8" t="s">
        <v>7</v>
      </c>
      <c r="C71" s="9">
        <v>48</v>
      </c>
      <c r="D71" s="9">
        <v>53.146000000000001</v>
      </c>
      <c r="E71" s="10">
        <v>55.59</v>
      </c>
      <c r="F71" s="17">
        <f t="shared" si="45"/>
        <v>1.0459865276784708</v>
      </c>
      <c r="G71" s="12">
        <v>2</v>
      </c>
      <c r="H71" s="13" t="s">
        <v>8</v>
      </c>
      <c r="I71" s="13" t="s">
        <v>8</v>
      </c>
      <c r="J71" s="9">
        <f t="shared" si="46"/>
        <v>704</v>
      </c>
      <c r="K71" s="9">
        <f>8800*0.6*0.5*0.45</f>
        <v>1188</v>
      </c>
      <c r="L71" s="9">
        <f t="shared" si="47"/>
        <v>1892</v>
      </c>
      <c r="M71" s="8" t="s">
        <v>8</v>
      </c>
      <c r="N71" s="32">
        <f>L71+L73+L74</f>
        <v>4804.7999999999993</v>
      </c>
      <c r="O71" s="30"/>
    </row>
    <row r="72" spans="1:15" ht="14.25" x14ac:dyDescent="0.15">
      <c r="A72" s="8" t="s">
        <v>145</v>
      </c>
      <c r="B72" s="8" t="s">
        <v>7</v>
      </c>
      <c r="C72" s="9">
        <v>52</v>
      </c>
      <c r="D72" s="9">
        <v>53.146000000000001</v>
      </c>
      <c r="E72" s="10">
        <v>52.51</v>
      </c>
      <c r="F72" s="17">
        <f t="shared" si="45"/>
        <v>0.98803296579234556</v>
      </c>
      <c r="G72" s="12">
        <v>1</v>
      </c>
      <c r="H72" s="13" t="s">
        <v>35</v>
      </c>
      <c r="I72" s="13" t="s">
        <v>35</v>
      </c>
      <c r="J72" s="9">
        <f t="shared" si="46"/>
        <v>704</v>
      </c>
      <c r="K72" s="9">
        <f>8800*0.6*0.5*0.43</f>
        <v>1135.2</v>
      </c>
      <c r="L72" s="9">
        <f t="shared" si="47"/>
        <v>1839.2</v>
      </c>
      <c r="M72" s="8"/>
      <c r="N72" s="32">
        <f>SUM(N70:N71)</f>
        <v>8800</v>
      </c>
      <c r="O72" s="30"/>
    </row>
    <row r="73" spans="1:15" ht="14.25" x14ac:dyDescent="0.15">
      <c r="A73" s="8" t="s">
        <v>146</v>
      </c>
      <c r="B73" s="8" t="s">
        <v>7</v>
      </c>
      <c r="C73" s="9">
        <v>50</v>
      </c>
      <c r="D73" s="9">
        <v>53.146000000000001</v>
      </c>
      <c r="E73" s="10">
        <v>51.04</v>
      </c>
      <c r="F73" s="17">
        <f t="shared" si="45"/>
        <v>0.96037331125578596</v>
      </c>
      <c r="G73" s="12">
        <v>2</v>
      </c>
      <c r="H73" s="13" t="s">
        <v>8</v>
      </c>
      <c r="I73" s="13" t="s">
        <v>8</v>
      </c>
      <c r="J73" s="9">
        <f t="shared" si="46"/>
        <v>704</v>
      </c>
      <c r="K73" s="9">
        <f>8800*0.6*0.5*0.33</f>
        <v>871.2</v>
      </c>
      <c r="L73" s="9">
        <f t="shared" si="47"/>
        <v>1575.2</v>
      </c>
      <c r="M73" s="30"/>
      <c r="N73" s="30"/>
      <c r="O73" s="30"/>
    </row>
    <row r="74" spans="1:15" ht="14.25" x14ac:dyDescent="0.15">
      <c r="A74" s="8" t="s">
        <v>144</v>
      </c>
      <c r="B74" s="8" t="s">
        <v>7</v>
      </c>
      <c r="C74" s="9">
        <v>43</v>
      </c>
      <c r="D74" s="9">
        <v>53.146000000000001</v>
      </c>
      <c r="E74" s="10">
        <v>50.78</v>
      </c>
      <c r="F74" s="17">
        <f t="shared" si="45"/>
        <v>0.95548112746020397</v>
      </c>
      <c r="G74" s="12">
        <v>3</v>
      </c>
      <c r="H74" s="13" t="s">
        <v>8</v>
      </c>
      <c r="I74" s="13" t="s">
        <v>8</v>
      </c>
      <c r="J74" s="9">
        <f t="shared" si="46"/>
        <v>704</v>
      </c>
      <c r="K74" s="9">
        <f>8800*0.6*0.5*0.24</f>
        <v>633.6</v>
      </c>
      <c r="L74" s="9">
        <f t="shared" si="47"/>
        <v>1337.6</v>
      </c>
      <c r="M74" s="30"/>
      <c r="N74" s="30"/>
      <c r="O74" s="30"/>
    </row>
    <row r="75" spans="1:15" ht="14.25" x14ac:dyDescent="0.15">
      <c r="A75" s="1"/>
      <c r="B75" s="1"/>
      <c r="C75" s="1"/>
      <c r="D75" s="2"/>
      <c r="E75" s="3">
        <f t="shared" ref="E75:L75" si="48">SUM(E70:E74)</f>
        <v>265.73</v>
      </c>
      <c r="F75" s="4">
        <f t="shared" si="48"/>
        <v>5</v>
      </c>
      <c r="G75" s="5"/>
      <c r="H75" s="6"/>
      <c r="I75" s="1"/>
      <c r="J75" s="9">
        <f t="shared" si="48"/>
        <v>3520</v>
      </c>
      <c r="K75" s="9">
        <f t="shared" si="48"/>
        <v>5280</v>
      </c>
      <c r="L75" s="9">
        <f t="shared" si="48"/>
        <v>8800</v>
      </c>
      <c r="M75" s="30"/>
      <c r="N75" s="30"/>
      <c r="O75" s="30"/>
    </row>
    <row r="76" spans="1:15" ht="14.25" x14ac:dyDescent="0.15">
      <c r="A76" s="27"/>
      <c r="B76" s="28"/>
      <c r="C76" s="28"/>
      <c r="D76" s="28"/>
      <c r="E76" s="28"/>
      <c r="F76" s="28"/>
      <c r="G76" s="28"/>
      <c r="H76" s="27"/>
      <c r="I76" s="28"/>
      <c r="J76" s="28"/>
      <c r="K76" s="28"/>
      <c r="L76" s="28"/>
      <c r="M76" s="30"/>
      <c r="N76" s="30"/>
      <c r="O76" s="30"/>
    </row>
    <row r="77" spans="1:15" ht="14.25" x14ac:dyDescent="0.15">
      <c r="A77" s="7" t="s">
        <v>94</v>
      </c>
      <c r="B77" s="7" t="s">
        <v>0</v>
      </c>
      <c r="C77" s="7" t="s">
        <v>132</v>
      </c>
      <c r="D77" s="7" t="s">
        <v>133</v>
      </c>
      <c r="E77" s="7" t="s">
        <v>100</v>
      </c>
      <c r="F77" s="7" t="s">
        <v>134</v>
      </c>
      <c r="G77" s="7" t="s">
        <v>135</v>
      </c>
      <c r="H77" s="7" t="s">
        <v>136</v>
      </c>
      <c r="I77" s="7" t="s">
        <v>137</v>
      </c>
      <c r="J77" s="8" t="s">
        <v>117</v>
      </c>
      <c r="K77" s="8" t="s">
        <v>149</v>
      </c>
      <c r="L77" s="8" t="s">
        <v>150</v>
      </c>
      <c r="M77" s="149" t="s">
        <v>151</v>
      </c>
      <c r="N77" s="150"/>
      <c r="O77" s="30"/>
    </row>
    <row r="78" spans="1:15" ht="14.25" x14ac:dyDescent="0.15">
      <c r="A78" s="8" t="s">
        <v>143</v>
      </c>
      <c r="B78" s="8" t="s">
        <v>21</v>
      </c>
      <c r="C78" s="9">
        <v>48</v>
      </c>
      <c r="D78" s="9">
        <v>66.680000000000007</v>
      </c>
      <c r="E78" s="10">
        <v>71.83</v>
      </c>
      <c r="F78" s="23">
        <f t="shared" ref="F78:F82" si="49">E78/D78</f>
        <v>1.0772345530893821</v>
      </c>
      <c r="G78" s="12">
        <v>1</v>
      </c>
      <c r="H78" s="13" t="s">
        <v>39</v>
      </c>
      <c r="I78" s="13" t="s">
        <v>39</v>
      </c>
      <c r="J78" s="9">
        <f t="shared" ref="J78:J82" si="50">3520/5</f>
        <v>704</v>
      </c>
      <c r="K78" s="9">
        <f>8800*0.6*0.5*0.55</f>
        <v>1452.0000000000002</v>
      </c>
      <c r="L78" s="9">
        <f t="shared" ref="L78:L82" si="51">J78+K78</f>
        <v>2156</v>
      </c>
      <c r="M78" s="8" t="s">
        <v>39</v>
      </c>
      <c r="N78" s="32">
        <f>L78+L81</f>
        <v>3731.2</v>
      </c>
      <c r="O78" s="30"/>
    </row>
    <row r="79" spans="1:15" ht="14.25" x14ac:dyDescent="0.15">
      <c r="A79" s="8" t="s">
        <v>142</v>
      </c>
      <c r="B79" s="8" t="s">
        <v>21</v>
      </c>
      <c r="C79" s="9">
        <v>48</v>
      </c>
      <c r="D79" s="9">
        <v>66.680000000000007</v>
      </c>
      <c r="E79" s="10">
        <v>68.430000000000007</v>
      </c>
      <c r="F79" s="23">
        <f t="shared" si="49"/>
        <v>1.0262447510497901</v>
      </c>
      <c r="G79" s="12">
        <v>2</v>
      </c>
      <c r="H79" s="13" t="s">
        <v>22</v>
      </c>
      <c r="I79" s="13" t="s">
        <v>22</v>
      </c>
      <c r="J79" s="9">
        <f t="shared" si="50"/>
        <v>704</v>
      </c>
      <c r="K79" s="9">
        <f>8800*0.6*0.5*0.45</f>
        <v>1188</v>
      </c>
      <c r="L79" s="9">
        <f t="shared" si="51"/>
        <v>1892</v>
      </c>
      <c r="M79" s="8" t="s">
        <v>22</v>
      </c>
      <c r="N79" s="32">
        <f>L79+L82+L80*0.5</f>
        <v>4149.2</v>
      </c>
      <c r="O79" s="30"/>
    </row>
    <row r="80" spans="1:15" ht="14.25" x14ac:dyDescent="0.15">
      <c r="A80" s="8" t="s">
        <v>146</v>
      </c>
      <c r="B80" s="8" t="s">
        <v>21</v>
      </c>
      <c r="C80" s="9">
        <v>50</v>
      </c>
      <c r="D80" s="9">
        <v>66.680000000000007</v>
      </c>
      <c r="E80" s="10">
        <v>66.14</v>
      </c>
      <c r="F80" s="23">
        <f t="shared" si="49"/>
        <v>0.99190161967606472</v>
      </c>
      <c r="G80" s="12">
        <v>1</v>
      </c>
      <c r="H80" s="13" t="s">
        <v>80</v>
      </c>
      <c r="I80" s="13" t="s">
        <v>22</v>
      </c>
      <c r="J80" s="9">
        <f t="shared" si="50"/>
        <v>704</v>
      </c>
      <c r="K80" s="9">
        <f>8800*0.6*0.5*0.43</f>
        <v>1135.2</v>
      </c>
      <c r="L80" s="9">
        <f t="shared" si="51"/>
        <v>1839.2</v>
      </c>
      <c r="M80" s="8" t="s">
        <v>80</v>
      </c>
      <c r="N80" s="32">
        <f>L80*0.5</f>
        <v>919.6</v>
      </c>
      <c r="O80" s="30"/>
    </row>
    <row r="81" spans="1:15" ht="14.25" x14ac:dyDescent="0.15">
      <c r="A81" s="8" t="s">
        <v>144</v>
      </c>
      <c r="B81" s="8" t="s">
        <v>21</v>
      </c>
      <c r="C81" s="9">
        <v>43</v>
      </c>
      <c r="D81" s="9">
        <v>66.680000000000007</v>
      </c>
      <c r="E81" s="10">
        <v>63.63</v>
      </c>
      <c r="F81" s="23">
        <f t="shared" si="49"/>
        <v>0.95425914817036583</v>
      </c>
      <c r="G81" s="12">
        <v>2</v>
      </c>
      <c r="H81" s="13" t="s">
        <v>39</v>
      </c>
      <c r="I81" s="13" t="s">
        <v>39</v>
      </c>
      <c r="J81" s="9">
        <f t="shared" si="50"/>
        <v>704</v>
      </c>
      <c r="K81" s="9">
        <f>8800*0.6*0.5*0.33</f>
        <v>871.2</v>
      </c>
      <c r="L81" s="9">
        <f t="shared" si="51"/>
        <v>1575.2</v>
      </c>
      <c r="M81" s="8"/>
      <c r="N81" s="32">
        <f>SUM(N78:N80)</f>
        <v>8800</v>
      </c>
      <c r="O81" s="30"/>
    </row>
    <row r="82" spans="1:15" ht="14.25" x14ac:dyDescent="0.15">
      <c r="A82" s="8" t="s">
        <v>145</v>
      </c>
      <c r="B82" s="8" t="s">
        <v>21</v>
      </c>
      <c r="C82" s="9">
        <v>52</v>
      </c>
      <c r="D82" s="9">
        <v>66.680000000000007</v>
      </c>
      <c r="E82" s="10">
        <v>63.37</v>
      </c>
      <c r="F82" s="23">
        <f t="shared" si="49"/>
        <v>0.95035992801439695</v>
      </c>
      <c r="G82" s="12">
        <v>3</v>
      </c>
      <c r="H82" s="13" t="s">
        <v>22</v>
      </c>
      <c r="I82" s="13" t="s">
        <v>22</v>
      </c>
      <c r="J82" s="9">
        <f t="shared" si="50"/>
        <v>704</v>
      </c>
      <c r="K82" s="9">
        <f>8800*0.6*0.5*0.24</f>
        <v>633.6</v>
      </c>
      <c r="L82" s="9">
        <f t="shared" si="51"/>
        <v>1337.6</v>
      </c>
      <c r="M82" s="30"/>
      <c r="N82" s="30"/>
      <c r="O82" s="30"/>
    </row>
    <row r="83" spans="1:15" ht="14.25" x14ac:dyDescent="0.15">
      <c r="A83" s="1"/>
      <c r="B83" s="1"/>
      <c r="C83" s="1"/>
      <c r="D83" s="2"/>
      <c r="E83" s="3">
        <f t="shared" ref="E83:L83" si="52">SUM(E78:E82)</f>
        <v>333.4</v>
      </c>
      <c r="F83" s="24">
        <f t="shared" si="52"/>
        <v>4.9999999999999991</v>
      </c>
      <c r="G83" s="5"/>
      <c r="H83" s="6"/>
      <c r="I83" s="1"/>
      <c r="J83" s="9">
        <f t="shared" si="52"/>
        <v>3520</v>
      </c>
      <c r="K83" s="9">
        <f t="shared" si="52"/>
        <v>5280</v>
      </c>
      <c r="L83" s="9">
        <f t="shared" si="52"/>
        <v>8800</v>
      </c>
      <c r="M83" s="30"/>
      <c r="N83" s="30"/>
      <c r="O83" s="30"/>
    </row>
    <row r="84" spans="1:15" ht="14.25" x14ac:dyDescent="0.15">
      <c r="A84" s="27"/>
      <c r="B84" s="28"/>
      <c r="C84" s="28"/>
      <c r="D84" s="28"/>
      <c r="E84" s="28"/>
      <c r="F84" s="28"/>
      <c r="G84" s="28"/>
      <c r="H84" s="27"/>
      <c r="I84" s="28"/>
      <c r="J84" s="28"/>
      <c r="K84" s="28"/>
      <c r="L84" s="28"/>
      <c r="M84" s="30"/>
      <c r="N84" s="30"/>
      <c r="O84" s="30"/>
    </row>
    <row r="85" spans="1:15" ht="14.25" x14ac:dyDescent="0.15">
      <c r="A85" s="7" t="s">
        <v>94</v>
      </c>
      <c r="B85" s="7" t="s">
        <v>0</v>
      </c>
      <c r="C85" s="7" t="s">
        <v>132</v>
      </c>
      <c r="D85" s="7" t="s">
        <v>133</v>
      </c>
      <c r="E85" s="7" t="s">
        <v>100</v>
      </c>
      <c r="F85" s="7" t="s">
        <v>134</v>
      </c>
      <c r="G85" s="7" t="s">
        <v>135</v>
      </c>
      <c r="H85" s="7" t="s">
        <v>136</v>
      </c>
      <c r="I85" s="7" t="s">
        <v>137</v>
      </c>
      <c r="J85" s="8" t="s">
        <v>117</v>
      </c>
      <c r="K85" s="8" t="s">
        <v>149</v>
      </c>
      <c r="L85" s="8" t="s">
        <v>150</v>
      </c>
      <c r="M85" s="149" t="s">
        <v>151</v>
      </c>
      <c r="N85" s="150"/>
      <c r="O85" s="30"/>
    </row>
    <row r="86" spans="1:15" ht="14.25" x14ac:dyDescent="0.15">
      <c r="A86" s="8" t="s">
        <v>142</v>
      </c>
      <c r="B86" s="8" t="s">
        <v>15</v>
      </c>
      <c r="C86" s="9">
        <v>48</v>
      </c>
      <c r="D86" s="26">
        <v>53.96</v>
      </c>
      <c r="E86" s="10">
        <v>57.68</v>
      </c>
      <c r="F86" s="17">
        <f t="shared" ref="F86:F90" si="53">E86/D86</f>
        <v>1.0689399555226093</v>
      </c>
      <c r="G86" s="12">
        <v>1</v>
      </c>
      <c r="H86" s="13" t="s">
        <v>16</v>
      </c>
      <c r="I86" s="13" t="s">
        <v>16</v>
      </c>
      <c r="J86" s="9">
        <f t="shared" ref="J86:J90" si="54">4800/5</f>
        <v>960</v>
      </c>
      <c r="K86" s="9">
        <f>12000*0.6*0.5*0.55</f>
        <v>1980.0000000000002</v>
      </c>
      <c r="L86" s="9">
        <f t="shared" ref="L86:L90" si="55">J86+K86</f>
        <v>2940</v>
      </c>
      <c r="M86" s="8" t="s">
        <v>16</v>
      </c>
      <c r="N86" s="32">
        <f>L86+L88+L89</f>
        <v>7596</v>
      </c>
      <c r="O86" s="30"/>
    </row>
    <row r="87" spans="1:15" ht="14.25" x14ac:dyDescent="0.15">
      <c r="A87" s="8" t="s">
        <v>143</v>
      </c>
      <c r="B87" s="8" t="s">
        <v>15</v>
      </c>
      <c r="C87" s="9">
        <v>48</v>
      </c>
      <c r="D87" s="9">
        <v>53.96</v>
      </c>
      <c r="E87" s="10">
        <v>55.13</v>
      </c>
      <c r="F87" s="17">
        <f t="shared" si="53"/>
        <v>1.0216827279466272</v>
      </c>
      <c r="G87" s="12">
        <v>2</v>
      </c>
      <c r="H87" s="13" t="s">
        <v>56</v>
      </c>
      <c r="I87" s="13" t="s">
        <v>56</v>
      </c>
      <c r="J87" s="9">
        <f t="shared" si="54"/>
        <v>960</v>
      </c>
      <c r="K87" s="9">
        <f>12000*0.6*0.5*0.45</f>
        <v>1620</v>
      </c>
      <c r="L87" s="9">
        <f t="shared" si="55"/>
        <v>2580</v>
      </c>
      <c r="M87" s="8" t="s">
        <v>56</v>
      </c>
      <c r="N87" s="32">
        <f>L87+L90</f>
        <v>4404</v>
      </c>
      <c r="O87" s="30"/>
    </row>
    <row r="88" spans="1:15" ht="14.25" x14ac:dyDescent="0.15">
      <c r="A88" s="8" t="s">
        <v>146</v>
      </c>
      <c r="B88" s="8" t="s">
        <v>15</v>
      </c>
      <c r="C88" s="9">
        <v>50</v>
      </c>
      <c r="D88" s="26">
        <v>53.96</v>
      </c>
      <c r="E88" s="10">
        <v>54.14</v>
      </c>
      <c r="F88" s="17">
        <f t="shared" si="53"/>
        <v>1.0033358042994811</v>
      </c>
      <c r="G88" s="12">
        <v>1</v>
      </c>
      <c r="H88" s="13" t="s">
        <v>16</v>
      </c>
      <c r="I88" s="13" t="s">
        <v>16</v>
      </c>
      <c r="J88" s="9">
        <f t="shared" si="54"/>
        <v>960</v>
      </c>
      <c r="K88" s="9">
        <f>12000*0.6*0.5*0.43</f>
        <v>1548</v>
      </c>
      <c r="L88" s="9">
        <f t="shared" si="55"/>
        <v>2508</v>
      </c>
      <c r="M88" s="8"/>
      <c r="N88" s="32">
        <f>SUM(N86:N87)</f>
        <v>12000</v>
      </c>
      <c r="O88" s="30"/>
    </row>
    <row r="89" spans="1:15" ht="14.25" x14ac:dyDescent="0.15">
      <c r="A89" s="8" t="s">
        <v>144</v>
      </c>
      <c r="B89" s="8" t="s">
        <v>15</v>
      </c>
      <c r="C89" s="9">
        <v>43</v>
      </c>
      <c r="D89" s="9">
        <v>53.96</v>
      </c>
      <c r="E89" s="10">
        <v>52.54</v>
      </c>
      <c r="F89" s="17">
        <f t="shared" si="53"/>
        <v>0.97368421052631571</v>
      </c>
      <c r="G89" s="12">
        <v>2</v>
      </c>
      <c r="H89" s="13" t="s">
        <v>16</v>
      </c>
      <c r="I89" s="13" t="s">
        <v>16</v>
      </c>
      <c r="J89" s="9">
        <f t="shared" si="54"/>
        <v>960</v>
      </c>
      <c r="K89" s="9">
        <f>12000*0.6*0.5*0.33</f>
        <v>1188</v>
      </c>
      <c r="L89" s="9">
        <f t="shared" si="55"/>
        <v>2148</v>
      </c>
      <c r="M89" s="30"/>
      <c r="N89" s="30"/>
      <c r="O89" s="30"/>
    </row>
    <row r="90" spans="1:15" ht="14.25" x14ac:dyDescent="0.15">
      <c r="A90" s="8" t="s">
        <v>145</v>
      </c>
      <c r="B90" s="8" t="s">
        <v>15</v>
      </c>
      <c r="C90" s="9">
        <v>52</v>
      </c>
      <c r="D90" s="26">
        <v>53.96</v>
      </c>
      <c r="E90" s="10">
        <v>50.31</v>
      </c>
      <c r="F90" s="17">
        <f t="shared" si="53"/>
        <v>0.93235730170496667</v>
      </c>
      <c r="G90" s="12">
        <v>3</v>
      </c>
      <c r="H90" s="13" t="s">
        <v>56</v>
      </c>
      <c r="I90" s="13" t="s">
        <v>56</v>
      </c>
      <c r="J90" s="9">
        <f t="shared" si="54"/>
        <v>960</v>
      </c>
      <c r="K90" s="9">
        <f>12000*0.6*0.5*0.24</f>
        <v>864</v>
      </c>
      <c r="L90" s="9">
        <f t="shared" si="55"/>
        <v>1824</v>
      </c>
      <c r="M90" s="30"/>
      <c r="N90" s="30"/>
      <c r="O90" s="30"/>
    </row>
    <row r="91" spans="1:15" ht="14.25" x14ac:dyDescent="0.15">
      <c r="A91" s="1"/>
      <c r="B91" s="25"/>
      <c r="C91" s="25"/>
      <c r="D91" s="25"/>
      <c r="E91" s="25">
        <f t="shared" ref="E91:L91" si="56">SUM(E86:E90)</f>
        <v>269.79999999999995</v>
      </c>
      <c r="F91" s="25">
        <f t="shared" si="56"/>
        <v>5</v>
      </c>
      <c r="G91" s="25"/>
      <c r="H91" s="1"/>
      <c r="I91" s="1"/>
      <c r="J91" s="9">
        <f t="shared" si="56"/>
        <v>4800</v>
      </c>
      <c r="K91" s="9">
        <f t="shared" si="56"/>
        <v>7200</v>
      </c>
      <c r="L91" s="9">
        <f t="shared" si="56"/>
        <v>12000</v>
      </c>
      <c r="M91" s="30"/>
      <c r="N91" s="30"/>
      <c r="O91" s="30"/>
    </row>
  </sheetData>
  <mergeCells count="13">
    <mergeCell ref="M69:N69"/>
    <mergeCell ref="M77:N77"/>
    <mergeCell ref="M85:N85"/>
    <mergeCell ref="N36:O36"/>
    <mergeCell ref="N44:O44"/>
    <mergeCell ref="A52:N52"/>
    <mergeCell ref="M53:N53"/>
    <mergeCell ref="M61:N61"/>
    <mergeCell ref="A2:O2"/>
    <mergeCell ref="N3:O3"/>
    <mergeCell ref="N12:O12"/>
    <mergeCell ref="N20:O20"/>
    <mergeCell ref="N28:O28"/>
  </mergeCells>
  <phoneticPr fontId="4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总表</vt:lpstr>
      <vt:lpstr>打款表</vt:lpstr>
      <vt:lpstr>理科语文</vt:lpstr>
      <vt:lpstr>物理</vt:lpstr>
      <vt:lpstr>化学</vt:lpstr>
      <vt:lpstr>生物</vt:lpstr>
      <vt:lpstr>理科数学</vt:lpstr>
      <vt:lpstr>理科英语</vt:lpstr>
      <vt:lpstr>汇总表</vt:lpstr>
      <vt:lpstr>平均分你和班校比</vt:lpstr>
      <vt:lpstr>文科计算表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云中木</dc:creator>
  <cp:lastModifiedBy>冀华强</cp:lastModifiedBy>
  <dcterms:created xsi:type="dcterms:W3CDTF">2023-03-10T01:31:00Z</dcterms:created>
  <dcterms:modified xsi:type="dcterms:W3CDTF">2023-03-21T10:16:26Z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57ED0AF23DB44B8F9B33E4000870A3AC</vt:lpwstr>
  </property>
  <property fmtid="{D5CDD505-2E9C-101B-9397-08002B2CF9AE}" pid="3" name="KSOProductBuildVer">
    <vt:lpwstr>2052-11.1.0.12980</vt:lpwstr>
  </property>
</Properties>
</file>