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D:\wps\26357658\WPS云盘\木里中学\3.教务相关\8.绩效及教学质量计算\2023-2024学年教学质量奖\教学质量奖\"/>
    </mc:Choice>
  </mc:AlternateContent>
  <xr:revisionPtr revIDLastSave="0" documentId="13_ncr:1_{C207C974-85C6-40BA-9973-0023A95D620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质量奖" sheetId="1" r:id="rId1"/>
    <sheet name="进步奖" sheetId="2" r:id="rId2"/>
    <sheet name="合计" sheetId="3" r:id="rId3"/>
  </sheets>
  <externalReferences>
    <externalReference r:id="rId4"/>
  </externalReferences>
  <definedNames>
    <definedName name="科类">[1]成绩册!$F$3:$F$613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0" i="3" l="1"/>
  <c r="C49" i="3"/>
  <c r="C48" i="3"/>
  <c r="C47" i="3"/>
  <c r="E46" i="3"/>
  <c r="C46" i="3"/>
  <c r="C45" i="3"/>
  <c r="C44" i="3"/>
  <c r="C43" i="3"/>
  <c r="E42" i="3"/>
  <c r="C42" i="3"/>
  <c r="C41" i="3"/>
  <c r="C40" i="3"/>
  <c r="C39" i="3"/>
  <c r="E38" i="3"/>
  <c r="C38" i="3"/>
  <c r="C37" i="3"/>
  <c r="C36" i="3"/>
  <c r="E35" i="3"/>
  <c r="C35" i="3"/>
  <c r="C34" i="3"/>
  <c r="C33" i="3"/>
  <c r="C32" i="3"/>
  <c r="E31" i="3"/>
  <c r="C31" i="3"/>
  <c r="C30" i="3"/>
  <c r="C29" i="3"/>
  <c r="C28" i="3"/>
  <c r="E27" i="3"/>
  <c r="C27" i="3"/>
  <c r="C26" i="3"/>
  <c r="C25" i="3"/>
  <c r="C24" i="3"/>
  <c r="C23" i="3"/>
  <c r="C22" i="3"/>
  <c r="C21" i="3"/>
  <c r="E20" i="3"/>
  <c r="C20" i="3"/>
  <c r="C19" i="3"/>
  <c r="C18" i="3"/>
  <c r="C17" i="3"/>
  <c r="C16" i="3"/>
  <c r="C15" i="3"/>
  <c r="C14" i="3"/>
  <c r="C13" i="3"/>
  <c r="C12" i="3"/>
  <c r="E11" i="3"/>
  <c r="C11" i="3"/>
  <c r="C10" i="3"/>
  <c r="C9" i="3"/>
  <c r="C8" i="3"/>
  <c r="C7" i="3"/>
  <c r="C6" i="3"/>
  <c r="C5" i="3"/>
  <c r="C4" i="3"/>
  <c r="C3" i="3"/>
  <c r="E2" i="3"/>
  <c r="C2" i="3"/>
  <c r="M111" i="2"/>
  <c r="L111" i="2"/>
  <c r="K111" i="2"/>
  <c r="M110" i="2"/>
  <c r="L110" i="2"/>
  <c r="K110" i="2"/>
  <c r="F110" i="2"/>
  <c r="M109" i="2"/>
  <c r="L109" i="2"/>
  <c r="K109" i="2"/>
  <c r="F109" i="2"/>
  <c r="M108" i="2"/>
  <c r="L108" i="2"/>
  <c r="K108" i="2"/>
  <c r="F108" i="2"/>
  <c r="M107" i="2"/>
  <c r="L107" i="2"/>
  <c r="K107" i="2"/>
  <c r="F107" i="2"/>
  <c r="M106" i="2"/>
  <c r="L106" i="2"/>
  <c r="K106" i="2"/>
  <c r="F106" i="2"/>
  <c r="M105" i="2"/>
  <c r="L105" i="2"/>
  <c r="K105" i="2"/>
  <c r="F105" i="2"/>
  <c r="M104" i="2"/>
  <c r="L104" i="2"/>
  <c r="K104" i="2"/>
  <c r="F104" i="2"/>
  <c r="D102" i="2"/>
  <c r="C102" i="2"/>
  <c r="M100" i="2"/>
  <c r="L100" i="2"/>
  <c r="K100" i="2"/>
  <c r="M99" i="2"/>
  <c r="L99" i="2"/>
  <c r="K99" i="2"/>
  <c r="F99" i="2"/>
  <c r="M98" i="2"/>
  <c r="L98" i="2"/>
  <c r="K98" i="2"/>
  <c r="F98" i="2"/>
  <c r="M97" i="2"/>
  <c r="L97" i="2"/>
  <c r="K97" i="2"/>
  <c r="F97" i="2"/>
  <c r="M96" i="2"/>
  <c r="L96" i="2"/>
  <c r="K96" i="2"/>
  <c r="F96" i="2"/>
  <c r="M95" i="2"/>
  <c r="L95" i="2"/>
  <c r="K95" i="2"/>
  <c r="F95" i="2"/>
  <c r="M94" i="2"/>
  <c r="L94" i="2"/>
  <c r="K94" i="2"/>
  <c r="F94" i="2"/>
  <c r="M93" i="2"/>
  <c r="L93" i="2"/>
  <c r="K93" i="2"/>
  <c r="F93" i="2"/>
  <c r="M92" i="2"/>
  <c r="L92" i="2"/>
  <c r="K92" i="2"/>
  <c r="F92" i="2"/>
  <c r="D90" i="2"/>
  <c r="C90" i="2"/>
  <c r="M88" i="2"/>
  <c r="L88" i="2"/>
  <c r="K88" i="2"/>
  <c r="M87" i="2"/>
  <c r="L87" i="2"/>
  <c r="K87" i="2"/>
  <c r="F87" i="2"/>
  <c r="M86" i="2"/>
  <c r="L86" i="2"/>
  <c r="K86" i="2"/>
  <c r="F86" i="2"/>
  <c r="M85" i="2"/>
  <c r="L85" i="2"/>
  <c r="K85" i="2"/>
  <c r="F85" i="2"/>
  <c r="M84" i="2"/>
  <c r="L84" i="2"/>
  <c r="K84" i="2"/>
  <c r="F84" i="2"/>
  <c r="M83" i="2"/>
  <c r="L83" i="2"/>
  <c r="K83" i="2"/>
  <c r="F83" i="2"/>
  <c r="M82" i="2"/>
  <c r="L82" i="2"/>
  <c r="K82" i="2"/>
  <c r="F82" i="2"/>
  <c r="M81" i="2"/>
  <c r="L81" i="2"/>
  <c r="K81" i="2"/>
  <c r="F81" i="2"/>
  <c r="M80" i="2"/>
  <c r="L80" i="2"/>
  <c r="K80" i="2"/>
  <c r="F80" i="2"/>
  <c r="D78" i="2"/>
  <c r="C78" i="2"/>
  <c r="M76" i="2"/>
  <c r="L76" i="2"/>
  <c r="K76" i="2"/>
  <c r="M75" i="2"/>
  <c r="L75" i="2"/>
  <c r="K75" i="2"/>
  <c r="F75" i="2"/>
  <c r="M74" i="2"/>
  <c r="L74" i="2"/>
  <c r="K74" i="2"/>
  <c r="F74" i="2"/>
  <c r="M73" i="2"/>
  <c r="L73" i="2"/>
  <c r="K73" i="2"/>
  <c r="F73" i="2"/>
  <c r="M72" i="2"/>
  <c r="L72" i="2"/>
  <c r="K72" i="2"/>
  <c r="F72" i="2"/>
  <c r="M71" i="2"/>
  <c r="L71" i="2"/>
  <c r="K71" i="2"/>
  <c r="F71" i="2"/>
  <c r="M70" i="2"/>
  <c r="L70" i="2"/>
  <c r="K70" i="2"/>
  <c r="F70" i="2"/>
  <c r="M69" i="2"/>
  <c r="L69" i="2"/>
  <c r="K69" i="2"/>
  <c r="F69" i="2"/>
  <c r="D67" i="2"/>
  <c r="C67" i="2"/>
  <c r="M65" i="2"/>
  <c r="L65" i="2"/>
  <c r="K65" i="2"/>
  <c r="M64" i="2"/>
  <c r="L64" i="2"/>
  <c r="K64" i="2"/>
  <c r="F64" i="2"/>
  <c r="M63" i="2"/>
  <c r="L63" i="2"/>
  <c r="K63" i="2"/>
  <c r="F63" i="2"/>
  <c r="M62" i="2"/>
  <c r="L62" i="2"/>
  <c r="K62" i="2"/>
  <c r="F62" i="2"/>
  <c r="M61" i="2"/>
  <c r="L61" i="2"/>
  <c r="K61" i="2"/>
  <c r="F61" i="2"/>
  <c r="M60" i="2"/>
  <c r="L60" i="2"/>
  <c r="K60" i="2"/>
  <c r="F60" i="2"/>
  <c r="M59" i="2"/>
  <c r="L59" i="2"/>
  <c r="K59" i="2"/>
  <c r="F59" i="2"/>
  <c r="M58" i="2"/>
  <c r="L58" i="2"/>
  <c r="K58" i="2"/>
  <c r="F58" i="2"/>
  <c r="D56" i="2"/>
  <c r="C56" i="2"/>
  <c r="M54" i="2"/>
  <c r="L54" i="2"/>
  <c r="K54" i="2"/>
  <c r="M53" i="2"/>
  <c r="L53" i="2"/>
  <c r="K53" i="2"/>
  <c r="F53" i="2"/>
  <c r="M52" i="2"/>
  <c r="L52" i="2"/>
  <c r="K52" i="2"/>
  <c r="F52" i="2"/>
  <c r="M51" i="2"/>
  <c r="L51" i="2"/>
  <c r="K51" i="2"/>
  <c r="F51" i="2"/>
  <c r="M50" i="2"/>
  <c r="L50" i="2"/>
  <c r="K50" i="2"/>
  <c r="F50" i="2"/>
  <c r="M49" i="2"/>
  <c r="L49" i="2"/>
  <c r="K49" i="2"/>
  <c r="F49" i="2"/>
  <c r="M48" i="2"/>
  <c r="L48" i="2"/>
  <c r="K48" i="2"/>
  <c r="F48" i="2"/>
  <c r="M47" i="2"/>
  <c r="L47" i="2"/>
  <c r="K47" i="2"/>
  <c r="F47" i="2"/>
  <c r="D45" i="2"/>
  <c r="C45" i="2"/>
  <c r="M43" i="2"/>
  <c r="L43" i="2"/>
  <c r="K43" i="2"/>
  <c r="M42" i="2"/>
  <c r="L42" i="2"/>
  <c r="K42" i="2"/>
  <c r="F42" i="2"/>
  <c r="M41" i="2"/>
  <c r="L41" i="2"/>
  <c r="K41" i="2"/>
  <c r="F41" i="2"/>
  <c r="M40" i="2"/>
  <c r="L40" i="2"/>
  <c r="K40" i="2"/>
  <c r="F40" i="2"/>
  <c r="M36" i="2"/>
  <c r="L36" i="2"/>
  <c r="K36" i="2"/>
  <c r="M35" i="2"/>
  <c r="L35" i="2"/>
  <c r="K35" i="2"/>
  <c r="F35" i="2"/>
  <c r="M34" i="2"/>
  <c r="L34" i="2"/>
  <c r="K34" i="2"/>
  <c r="F34" i="2"/>
  <c r="M33" i="2"/>
  <c r="L33" i="2"/>
  <c r="K33" i="2"/>
  <c r="F33" i="2"/>
  <c r="M32" i="2"/>
  <c r="L32" i="2"/>
  <c r="K32" i="2"/>
  <c r="F32" i="2"/>
  <c r="M31" i="2"/>
  <c r="L31" i="2"/>
  <c r="K31" i="2"/>
  <c r="F31" i="2"/>
  <c r="M30" i="2"/>
  <c r="L30" i="2"/>
  <c r="K30" i="2"/>
  <c r="F30" i="2"/>
  <c r="M29" i="2"/>
  <c r="L29" i="2"/>
  <c r="K29" i="2"/>
  <c r="F29" i="2"/>
  <c r="M28" i="2"/>
  <c r="L28" i="2"/>
  <c r="K28" i="2"/>
  <c r="F28" i="2"/>
  <c r="D26" i="2"/>
  <c r="C26" i="2"/>
  <c r="M23" i="2"/>
  <c r="L23" i="2"/>
  <c r="K23" i="2"/>
  <c r="M22" i="2"/>
  <c r="L22" i="2"/>
  <c r="K22" i="2"/>
  <c r="F22" i="2"/>
  <c r="M21" i="2"/>
  <c r="L21" i="2"/>
  <c r="K21" i="2"/>
  <c r="F21" i="2"/>
  <c r="M20" i="2"/>
  <c r="L20" i="2"/>
  <c r="K20" i="2"/>
  <c r="F20" i="2"/>
  <c r="M19" i="2"/>
  <c r="L19" i="2"/>
  <c r="K19" i="2"/>
  <c r="F19" i="2"/>
  <c r="M18" i="2"/>
  <c r="L18" i="2"/>
  <c r="K18" i="2"/>
  <c r="F18" i="2"/>
  <c r="M17" i="2"/>
  <c r="L17" i="2"/>
  <c r="K17" i="2"/>
  <c r="F17" i="2"/>
  <c r="M16" i="2"/>
  <c r="L16" i="2"/>
  <c r="K16" i="2"/>
  <c r="F16" i="2"/>
  <c r="D14" i="2"/>
  <c r="C14" i="2"/>
  <c r="D12" i="2"/>
  <c r="C12" i="2"/>
  <c r="D11" i="2"/>
  <c r="C11" i="2"/>
  <c r="D10" i="2"/>
  <c r="C10" i="2"/>
  <c r="D9" i="2"/>
  <c r="C9" i="2"/>
  <c r="D8" i="2"/>
  <c r="C8" i="2"/>
  <c r="D7" i="2"/>
  <c r="C7" i="2"/>
  <c r="D6" i="2"/>
  <c r="C6" i="2"/>
  <c r="D5" i="2"/>
  <c r="C5" i="2"/>
  <c r="D4" i="2"/>
  <c r="C4" i="2"/>
  <c r="D3" i="2"/>
  <c r="C3" i="2"/>
  <c r="M139" i="1"/>
  <c r="L139" i="1"/>
  <c r="K139" i="1"/>
  <c r="M138" i="1"/>
  <c r="L138" i="1"/>
  <c r="K138" i="1"/>
  <c r="F138" i="1"/>
  <c r="M137" i="1"/>
  <c r="L137" i="1"/>
  <c r="K137" i="1"/>
  <c r="F137" i="1"/>
  <c r="M136" i="1"/>
  <c r="L136" i="1"/>
  <c r="K136" i="1"/>
  <c r="F136" i="1"/>
  <c r="M131" i="1"/>
  <c r="L131" i="1"/>
  <c r="K131" i="1"/>
  <c r="M130" i="1"/>
  <c r="L130" i="1"/>
  <c r="K130" i="1"/>
  <c r="F130" i="1"/>
  <c r="M129" i="1"/>
  <c r="L129" i="1"/>
  <c r="K129" i="1"/>
  <c r="F129" i="1"/>
  <c r="M128" i="1"/>
  <c r="L128" i="1"/>
  <c r="K128" i="1"/>
  <c r="F128" i="1"/>
  <c r="M127" i="1"/>
  <c r="L127" i="1"/>
  <c r="K127" i="1"/>
  <c r="F127" i="1"/>
  <c r="M126" i="1"/>
  <c r="L126" i="1"/>
  <c r="K126" i="1"/>
  <c r="F126" i="1"/>
  <c r="M125" i="1"/>
  <c r="L125" i="1"/>
  <c r="K125" i="1"/>
  <c r="F125" i="1"/>
  <c r="M124" i="1"/>
  <c r="L124" i="1"/>
  <c r="K124" i="1"/>
  <c r="F124" i="1"/>
  <c r="M123" i="1"/>
  <c r="L123" i="1"/>
  <c r="K123" i="1"/>
  <c r="F123" i="1"/>
  <c r="M118" i="1"/>
  <c r="L118" i="1"/>
  <c r="K118" i="1"/>
  <c r="M117" i="1"/>
  <c r="L117" i="1"/>
  <c r="K117" i="1"/>
  <c r="F117" i="1"/>
  <c r="M116" i="1"/>
  <c r="L116" i="1"/>
  <c r="K116" i="1"/>
  <c r="F116" i="1"/>
  <c r="M115" i="1"/>
  <c r="L115" i="1"/>
  <c r="K115" i="1"/>
  <c r="F115" i="1"/>
  <c r="M114" i="1"/>
  <c r="L114" i="1"/>
  <c r="K114" i="1"/>
  <c r="F114" i="1"/>
  <c r="M113" i="1"/>
  <c r="L113" i="1"/>
  <c r="K113" i="1"/>
  <c r="F113" i="1"/>
  <c r="M109" i="1"/>
  <c r="L109" i="1"/>
  <c r="K109" i="1"/>
  <c r="M108" i="1"/>
  <c r="L108" i="1"/>
  <c r="K108" i="1"/>
  <c r="F108" i="1"/>
  <c r="M107" i="1"/>
  <c r="L107" i="1"/>
  <c r="K107" i="1"/>
  <c r="F107" i="1"/>
  <c r="M106" i="1"/>
  <c r="L106" i="1"/>
  <c r="K106" i="1"/>
  <c r="F106" i="1"/>
  <c r="M105" i="1"/>
  <c r="L105" i="1"/>
  <c r="K105" i="1"/>
  <c r="F105" i="1"/>
  <c r="M104" i="1"/>
  <c r="L104" i="1"/>
  <c r="K104" i="1"/>
  <c r="F104" i="1"/>
  <c r="M103" i="1"/>
  <c r="L103" i="1"/>
  <c r="K103" i="1"/>
  <c r="F103" i="1"/>
  <c r="M102" i="1"/>
  <c r="L102" i="1"/>
  <c r="K102" i="1"/>
  <c r="F102" i="1"/>
  <c r="M98" i="1"/>
  <c r="L98" i="1"/>
  <c r="K98" i="1"/>
  <c r="M97" i="1"/>
  <c r="L97" i="1"/>
  <c r="K97" i="1"/>
  <c r="F97" i="1"/>
  <c r="M96" i="1"/>
  <c r="L96" i="1"/>
  <c r="K96" i="1"/>
  <c r="F96" i="1"/>
  <c r="M95" i="1"/>
  <c r="L95" i="1"/>
  <c r="K95" i="1"/>
  <c r="F95" i="1"/>
  <c r="M94" i="1"/>
  <c r="L94" i="1"/>
  <c r="K94" i="1"/>
  <c r="F94" i="1"/>
  <c r="M93" i="1"/>
  <c r="L93" i="1"/>
  <c r="K93" i="1"/>
  <c r="F93" i="1"/>
  <c r="M92" i="1"/>
  <c r="L92" i="1"/>
  <c r="K92" i="1"/>
  <c r="F92" i="1"/>
  <c r="M91" i="1"/>
  <c r="L91" i="1"/>
  <c r="K91" i="1"/>
  <c r="F91" i="1"/>
  <c r="M90" i="1"/>
  <c r="L90" i="1"/>
  <c r="K90" i="1"/>
  <c r="F90" i="1"/>
  <c r="M86" i="1"/>
  <c r="L86" i="1"/>
  <c r="K86" i="1"/>
  <c r="M85" i="1"/>
  <c r="L85" i="1"/>
  <c r="K85" i="1"/>
  <c r="F85" i="1"/>
  <c r="M84" i="1"/>
  <c r="L84" i="1"/>
  <c r="K84" i="1"/>
  <c r="F84" i="1"/>
  <c r="M83" i="1"/>
  <c r="L83" i="1"/>
  <c r="K83" i="1"/>
  <c r="F83" i="1"/>
  <c r="M82" i="1"/>
  <c r="L82" i="1"/>
  <c r="K82" i="1"/>
  <c r="F82" i="1"/>
  <c r="M81" i="1"/>
  <c r="L81" i="1"/>
  <c r="K81" i="1"/>
  <c r="F81" i="1"/>
  <c r="M77" i="1"/>
  <c r="L77" i="1"/>
  <c r="K77" i="1"/>
  <c r="M76" i="1"/>
  <c r="L76" i="1"/>
  <c r="K76" i="1"/>
  <c r="F76" i="1"/>
  <c r="M75" i="1"/>
  <c r="L75" i="1"/>
  <c r="K75" i="1"/>
  <c r="F75" i="1"/>
  <c r="M74" i="1"/>
  <c r="L74" i="1"/>
  <c r="K74" i="1"/>
  <c r="F74" i="1"/>
  <c r="M73" i="1"/>
  <c r="L73" i="1"/>
  <c r="K73" i="1"/>
  <c r="F73" i="1"/>
  <c r="M72" i="1"/>
  <c r="L72" i="1"/>
  <c r="K72" i="1"/>
  <c r="F72" i="1"/>
  <c r="M71" i="1"/>
  <c r="L71" i="1"/>
  <c r="K71" i="1"/>
  <c r="F71" i="1"/>
  <c r="M70" i="1"/>
  <c r="L70" i="1"/>
  <c r="K70" i="1"/>
  <c r="F70" i="1"/>
  <c r="M66" i="1"/>
  <c r="L66" i="1"/>
  <c r="K66" i="1"/>
  <c r="M65" i="1"/>
  <c r="L65" i="1"/>
  <c r="K65" i="1"/>
  <c r="F65" i="1"/>
  <c r="M64" i="1"/>
  <c r="L64" i="1"/>
  <c r="K64" i="1"/>
  <c r="F64" i="1"/>
  <c r="M63" i="1"/>
  <c r="L63" i="1"/>
  <c r="K63" i="1"/>
  <c r="F63" i="1"/>
  <c r="M62" i="1"/>
  <c r="L62" i="1"/>
  <c r="K62" i="1"/>
  <c r="F62" i="1"/>
  <c r="M61" i="1"/>
  <c r="L61" i="1"/>
  <c r="K61" i="1"/>
  <c r="F61" i="1"/>
  <c r="M60" i="1"/>
  <c r="L60" i="1"/>
  <c r="K60" i="1"/>
  <c r="F60" i="1"/>
  <c r="M59" i="1"/>
  <c r="L59" i="1"/>
  <c r="K59" i="1"/>
  <c r="F59" i="1"/>
  <c r="M58" i="1"/>
  <c r="L58" i="1"/>
  <c r="K58" i="1"/>
  <c r="F58" i="1"/>
  <c r="M54" i="1"/>
  <c r="L54" i="1"/>
  <c r="K54" i="1"/>
  <c r="M53" i="1"/>
  <c r="L53" i="1"/>
  <c r="K53" i="1"/>
  <c r="F53" i="1"/>
  <c r="M52" i="1"/>
  <c r="L52" i="1"/>
  <c r="K52" i="1"/>
  <c r="F52" i="1"/>
  <c r="M51" i="1"/>
  <c r="L51" i="1"/>
  <c r="K51" i="1"/>
  <c r="F51" i="1"/>
  <c r="M50" i="1"/>
  <c r="L50" i="1"/>
  <c r="K50" i="1"/>
  <c r="F50" i="1"/>
  <c r="M49" i="1"/>
  <c r="L49" i="1"/>
  <c r="K49" i="1"/>
  <c r="F49" i="1"/>
  <c r="M48" i="1"/>
  <c r="L48" i="1"/>
  <c r="K48" i="1"/>
  <c r="F48" i="1"/>
  <c r="M47" i="1"/>
  <c r="L47" i="1"/>
  <c r="K47" i="1"/>
  <c r="F47" i="1"/>
  <c r="M43" i="1"/>
  <c r="L43" i="1"/>
  <c r="K43" i="1"/>
  <c r="M42" i="1"/>
  <c r="L42" i="1"/>
  <c r="K42" i="1"/>
  <c r="F42" i="1"/>
  <c r="M41" i="1"/>
  <c r="L41" i="1"/>
  <c r="K41" i="1"/>
  <c r="F41" i="1"/>
  <c r="M40" i="1"/>
  <c r="L40" i="1"/>
  <c r="K40" i="1"/>
  <c r="F40" i="1"/>
  <c r="M39" i="1"/>
  <c r="L39" i="1"/>
  <c r="K39" i="1"/>
  <c r="F39" i="1"/>
  <c r="M38" i="1"/>
  <c r="L38" i="1"/>
  <c r="K38" i="1"/>
  <c r="F38" i="1"/>
  <c r="M37" i="1"/>
  <c r="L37" i="1"/>
  <c r="K37" i="1"/>
  <c r="F37" i="1"/>
  <c r="M36" i="1"/>
  <c r="L36" i="1"/>
  <c r="K36" i="1"/>
  <c r="F36" i="1"/>
  <c r="M32" i="1"/>
  <c r="L32" i="1"/>
  <c r="K32" i="1"/>
  <c r="M31" i="1"/>
  <c r="L31" i="1"/>
  <c r="K31" i="1"/>
  <c r="F31" i="1"/>
  <c r="M30" i="1"/>
  <c r="L30" i="1"/>
  <c r="K30" i="1"/>
  <c r="F30" i="1"/>
  <c r="M26" i="1"/>
  <c r="L26" i="1"/>
  <c r="K26" i="1"/>
  <c r="M25" i="1"/>
  <c r="L25" i="1"/>
  <c r="K25" i="1"/>
  <c r="F25" i="1"/>
  <c r="M24" i="1"/>
  <c r="L24" i="1"/>
  <c r="K24" i="1"/>
  <c r="F24" i="1"/>
  <c r="M23" i="1"/>
  <c r="L23" i="1"/>
  <c r="K23" i="1"/>
  <c r="F23" i="1"/>
  <c r="M22" i="1"/>
  <c r="L22" i="1"/>
  <c r="K22" i="1"/>
  <c r="F22" i="1"/>
  <c r="M21" i="1"/>
  <c r="L21" i="1"/>
  <c r="K21" i="1"/>
  <c r="F21" i="1"/>
  <c r="M20" i="1"/>
  <c r="L20" i="1"/>
  <c r="K20" i="1"/>
  <c r="F20" i="1"/>
  <c r="M19" i="1"/>
  <c r="L19" i="1"/>
  <c r="K19" i="1"/>
  <c r="F19" i="1"/>
  <c r="F15" i="1"/>
  <c r="D15" i="1"/>
  <c r="C15" i="1"/>
  <c r="D14" i="1"/>
  <c r="C14" i="1"/>
  <c r="D13" i="1"/>
  <c r="C13" i="1"/>
  <c r="D12" i="1"/>
  <c r="C12" i="1"/>
  <c r="D11" i="1"/>
  <c r="C11" i="1"/>
  <c r="D10" i="1"/>
  <c r="C10" i="1"/>
  <c r="D9" i="1"/>
  <c r="C9" i="1"/>
  <c r="D8" i="1"/>
  <c r="C8" i="1"/>
  <c r="D7" i="1"/>
  <c r="C7" i="1"/>
  <c r="D6" i="1"/>
  <c r="C6" i="1"/>
  <c r="D5" i="1"/>
  <c r="C5" i="1"/>
  <c r="D4" i="1"/>
  <c r="C4" i="1"/>
  <c r="D3" i="1"/>
  <c r="C3" i="1"/>
</calcChain>
</file>

<file path=xl/sharedStrings.xml><?xml version="1.0" encoding="utf-8"?>
<sst xmlns="http://schemas.openxmlformats.org/spreadsheetml/2006/main" count="950" uniqueCount="154">
  <si>
    <t>高二教学质量奖</t>
  </si>
  <si>
    <t>科目</t>
  </si>
  <si>
    <t>奖项</t>
  </si>
  <si>
    <t>奖励金额/元</t>
  </si>
  <si>
    <t>实发金额/元</t>
  </si>
  <si>
    <t>高二历史类语文（6个班）</t>
  </si>
  <si>
    <t>一等奖</t>
  </si>
  <si>
    <t>高二历史类数学（7个班）</t>
  </si>
  <si>
    <t>高二物理类语文（6个班）</t>
  </si>
  <si>
    <t>高二物理类化学（5个班）</t>
  </si>
  <si>
    <t>高二历史类历史（7个班）</t>
  </si>
  <si>
    <t>二等奖</t>
  </si>
  <si>
    <t>高二历史类政治（5个班）</t>
  </si>
  <si>
    <t>高二历史类生物（2个班）</t>
  </si>
  <si>
    <t>高二物理类数学（6个班）</t>
  </si>
  <si>
    <t>高二物理类生物（3个班）</t>
  </si>
  <si>
    <t>高二物理类地理（2个班）</t>
  </si>
  <si>
    <t>高二历史类地理（2个班）</t>
  </si>
  <si>
    <t>三等奖</t>
  </si>
  <si>
    <t>高二物理类英语（3个班）</t>
  </si>
  <si>
    <t>合计</t>
  </si>
  <si>
    <t>1.高二历史类数学</t>
  </si>
  <si>
    <t>工作量</t>
  </si>
  <si>
    <t>班级</t>
  </si>
  <si>
    <t>参考人数</t>
  </si>
  <si>
    <t xml:space="preserve">年级平均分 </t>
  </si>
  <si>
    <t>班平均分</t>
  </si>
  <si>
    <t>班平均分/年级平均分</t>
  </si>
  <si>
    <t>名次</t>
  </si>
  <si>
    <t>任课课师</t>
  </si>
  <si>
    <t>上期课时</t>
  </si>
  <si>
    <t>下期课时</t>
  </si>
  <si>
    <t>课时奖</t>
  </si>
  <si>
    <t>贡献奖</t>
  </si>
  <si>
    <t>高二年级（9 ）班</t>
  </si>
  <si>
    <t>数学</t>
  </si>
  <si>
    <t>马俊</t>
  </si>
  <si>
    <t>高二年级（14 ）班</t>
  </si>
  <si>
    <t>高二年级（10 ）班</t>
  </si>
  <si>
    <t>喇燕</t>
  </si>
  <si>
    <t>高二年级（15 ）班</t>
  </si>
  <si>
    <t>潘勇</t>
  </si>
  <si>
    <t>高二年级（13 ）班</t>
  </si>
  <si>
    <t>吕开绒/徐万雄</t>
  </si>
  <si>
    <t>高二年级（11 ）班</t>
  </si>
  <si>
    <t>曹云萍</t>
  </si>
  <si>
    <t>高二年级（12 ）班</t>
  </si>
  <si>
    <t>钟海昌</t>
  </si>
  <si>
    <t>2.高二历史类生物</t>
  </si>
  <si>
    <t>高二年级（13）班</t>
  </si>
  <si>
    <t>生物</t>
  </si>
  <si>
    <t>尼玛布池</t>
  </si>
  <si>
    <t>高二年级（12）班</t>
  </si>
  <si>
    <t>张弘</t>
  </si>
  <si>
    <t>3.高二历史类语文</t>
  </si>
  <si>
    <t xml:space="preserve"> </t>
  </si>
  <si>
    <t>语文</t>
  </si>
  <si>
    <t>岳子琦</t>
  </si>
  <si>
    <t>杨翁基之玛</t>
  </si>
  <si>
    <t>易涛</t>
  </si>
  <si>
    <t>陈光汇</t>
  </si>
  <si>
    <t>甲阿祝玛</t>
  </si>
  <si>
    <t>格绒燚西</t>
  </si>
  <si>
    <t>4.高二历史类政治</t>
  </si>
  <si>
    <t>高二年级（9）班</t>
  </si>
  <si>
    <t>政治</t>
  </si>
  <si>
    <t>马巫各</t>
  </si>
  <si>
    <t>高二年级（11）班</t>
  </si>
  <si>
    <t>胡东缘</t>
  </si>
  <si>
    <t>胡东缘/吴文艺</t>
  </si>
  <si>
    <t>高二年级（10）班</t>
  </si>
  <si>
    <t>纪春权/吴文艺</t>
  </si>
  <si>
    <t>高二年级（14）班</t>
  </si>
  <si>
    <t>纪春权</t>
  </si>
  <si>
    <t>高二年级（15）班</t>
  </si>
  <si>
    <t>5.高二物理类数学</t>
  </si>
  <si>
    <t>高二年级（1 ）班</t>
  </si>
  <si>
    <t>赵云川</t>
  </si>
  <si>
    <t>高二年级（3 ）班</t>
  </si>
  <si>
    <t>央宗娜姆</t>
  </si>
  <si>
    <t>高二年级（6 ）班</t>
  </si>
  <si>
    <t>高二年级（4 ）班</t>
  </si>
  <si>
    <t>高二年级（2 ）班</t>
  </si>
  <si>
    <t>高二年级（5 ）班</t>
  </si>
  <si>
    <t>高二年级（7 ）班</t>
  </si>
  <si>
    <t>高二年级（8 ）班</t>
  </si>
  <si>
    <t>6.高二物理类化学</t>
  </si>
  <si>
    <t>化学</t>
  </si>
  <si>
    <t>叶小军</t>
  </si>
  <si>
    <t>何传英</t>
  </si>
  <si>
    <t>李荣鑫</t>
  </si>
  <si>
    <t>马红琦</t>
  </si>
  <si>
    <t>7.高二物理类生物</t>
  </si>
  <si>
    <t>彭桦</t>
  </si>
  <si>
    <t>高二年级（5）班</t>
  </si>
  <si>
    <t>高二年级（7）班</t>
  </si>
  <si>
    <t>8.高二类物理语文</t>
  </si>
  <si>
    <t>周菊明</t>
  </si>
  <si>
    <t>肖锐</t>
  </si>
  <si>
    <t>李正琪/杨翁基之玛</t>
  </si>
  <si>
    <t>9.高二历史类历史</t>
  </si>
  <si>
    <t>历史</t>
  </si>
  <si>
    <t>杨琴</t>
  </si>
  <si>
    <t>徐志兵</t>
  </si>
  <si>
    <t>降初里</t>
  </si>
  <si>
    <t>邱君益</t>
  </si>
  <si>
    <t>10.高二历史类地理</t>
  </si>
  <si>
    <t>地理</t>
  </si>
  <si>
    <t>邓倩</t>
  </si>
  <si>
    <t>米晓妹</t>
  </si>
  <si>
    <t>石敏</t>
  </si>
  <si>
    <t>11.高二物理类英语</t>
  </si>
  <si>
    <t>英语</t>
  </si>
  <si>
    <t>拉初</t>
  </si>
  <si>
    <t>浦恩玲</t>
  </si>
  <si>
    <t>彭丹</t>
  </si>
  <si>
    <t>李永会</t>
  </si>
  <si>
    <t>张福琴</t>
  </si>
  <si>
    <t>朱恩凡</t>
  </si>
  <si>
    <t>陈国萍</t>
  </si>
  <si>
    <t>12.高二物理类地理</t>
  </si>
  <si>
    <t>高二年级（6）班</t>
  </si>
  <si>
    <t>金贵</t>
  </si>
  <si>
    <t>高二年级（7）班（8）班</t>
  </si>
  <si>
    <t>米小妹</t>
  </si>
  <si>
    <t>高二教学质量进步奖</t>
  </si>
  <si>
    <t>高二物理类语文（8个班）</t>
  </si>
  <si>
    <t>高二物理类地理（4个班）</t>
  </si>
  <si>
    <t>高二历史类语文（7个班）</t>
  </si>
  <si>
    <t>高二历史类政治（7个班）</t>
  </si>
  <si>
    <t>高二物理类物理（8个班）</t>
  </si>
  <si>
    <t>高二物理类英语（8个班）</t>
  </si>
  <si>
    <t>高二物理类化学（7个班）</t>
  </si>
  <si>
    <t>1.高二历史类历史</t>
  </si>
  <si>
    <t>2.高二类物理语文</t>
  </si>
  <si>
    <t>3.高二物理类地理</t>
  </si>
  <si>
    <t>4.高二历史类数学</t>
  </si>
  <si>
    <t>5.高二历史类语文</t>
  </si>
  <si>
    <t>6.高二历史类政治</t>
  </si>
  <si>
    <t>7.高二物理类物理</t>
  </si>
  <si>
    <t>物理</t>
  </si>
  <si>
    <t>赵建超</t>
  </si>
  <si>
    <t>周峰</t>
  </si>
  <si>
    <t>解超燕</t>
  </si>
  <si>
    <t>康小平</t>
  </si>
  <si>
    <t>8.高二物理类英语</t>
  </si>
  <si>
    <t>9.高二物理类化学</t>
  </si>
  <si>
    <t>奖金</t>
  </si>
  <si>
    <t>签字</t>
  </si>
  <si>
    <t>组内合计</t>
  </si>
  <si>
    <t>徐万雄</t>
  </si>
  <si>
    <t>吕开绒</t>
  </si>
  <si>
    <t>李正琪</t>
  </si>
  <si>
    <t>吴文艺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</si>
</sst>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￥&quot;#,##0.00;&quot;￥&quot;\-#,##0.00"/>
    <numFmt numFmtId="179" formatCode="0.00_);[Red]\(0.00\)"/>
    <numFmt numFmtId="180" formatCode="0.00_ "/>
    <numFmt numFmtId="181" formatCode="0_ "/>
  </numFmts>
  <fonts count="13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1"/>
      <color rgb="FFFF0000"/>
      <name val="宋体"/>
      <family val="3"/>
      <charset val="134"/>
    </font>
    <font>
      <sz val="12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9" fontId="11" fillId="0" borderId="0" applyFont="0" applyFill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17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80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 wrapText="1"/>
    </xf>
    <xf numFmtId="10" fontId="3" fillId="0" borderId="0" xfId="0" applyNumberFormat="1" applyFont="1" applyAlignment="1">
      <alignment horizontal="center" vertical="center" wrapText="1"/>
    </xf>
    <xf numFmtId="181" fontId="3" fillId="0" borderId="0" xfId="0" applyNumberFormat="1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1" xfId="0" applyFont="1" applyBorder="1">
      <alignment vertical="center"/>
    </xf>
    <xf numFmtId="180" fontId="6" fillId="0" borderId="1" xfId="0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181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0" fontId="3" fillId="0" borderId="0" xfId="0" applyNumberFormat="1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80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0" fontId="1" fillId="0" borderId="1" xfId="1" applyNumberFormat="1" applyFont="1" applyFill="1" applyBorder="1" applyAlignment="1" applyProtection="1">
      <alignment horizontal="center" vertical="center"/>
    </xf>
    <xf numFmtId="10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180" fontId="9" fillId="0" borderId="1" xfId="0" applyNumberFormat="1" applyFont="1" applyBorder="1" applyAlignment="1">
      <alignment horizontal="center" vertical="center"/>
    </xf>
    <xf numFmtId="10" fontId="8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80" fontId="7" fillId="0" borderId="0" xfId="0" applyNumberFormat="1" applyFont="1" applyAlignment="1">
      <alignment horizontal="center" vertical="center" wrapText="1"/>
    </xf>
    <xf numFmtId="10" fontId="7" fillId="0" borderId="0" xfId="0" applyNumberFormat="1" applyFont="1" applyAlignment="1">
      <alignment horizontal="center" vertical="center" wrapText="1"/>
    </xf>
    <xf numFmtId="181" fontId="7" fillId="0" borderId="0" xfId="0" applyNumberFormat="1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10" fontId="7" fillId="0" borderId="0" xfId="0" applyNumberFormat="1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0" fontId="8" fillId="0" borderId="1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10" fontId="8" fillId="0" borderId="1" xfId="1" applyNumberFormat="1" applyFont="1" applyFill="1" applyBorder="1" applyAlignment="1" applyProtection="1">
      <alignment horizontal="center" vertical="center"/>
    </xf>
    <xf numFmtId="181" fontId="8" fillId="0" borderId="1" xfId="0" applyNumberFormat="1" applyFont="1" applyBorder="1" applyAlignment="1">
      <alignment horizontal="center" vertical="center" wrapText="1"/>
    </xf>
    <xf numFmtId="180" fontId="8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181" fontId="7" fillId="0" borderId="1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180" fontId="7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79" fontId="1" fillId="0" borderId="2" xfId="0" applyNumberFormat="1" applyFont="1" applyBorder="1" applyAlignment="1">
      <alignment horizontal="center" vertical="center"/>
    </xf>
    <xf numFmtId="179" fontId="1" fillId="0" borderId="3" xfId="0" applyNumberFormat="1" applyFont="1" applyBorder="1" applyAlignment="1">
      <alignment horizontal="center" vertical="center"/>
    </xf>
    <xf numFmtId="179" fontId="1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njihong/Desktop/2024&#23626;&#25856;&#26525;&#33457;&#20108;&#32479;&#25968;&#25454;&#20998;&#26512;(&#32479;&#38405;&#29256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成绩册"/>
      <sheetName val="简易分析"/>
      <sheetName val="考核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9"/>
  <sheetViews>
    <sheetView workbookViewId="0">
      <pane ySplit="15" topLeftCell="A16" activePane="bottomLeft" state="frozen"/>
      <selection pane="bottomLeft" activeCell="F12" sqref="F12"/>
    </sheetView>
  </sheetViews>
  <sheetFormatPr defaultColWidth="9" defaultRowHeight="13.5" x14ac:dyDescent="0.15"/>
  <cols>
    <col min="1" max="1" width="24.875" customWidth="1"/>
    <col min="2" max="2" width="7" customWidth="1"/>
    <col min="3" max="4" width="12" customWidth="1"/>
    <col min="5" max="5" width="8.875" customWidth="1"/>
    <col min="6" max="6" width="20.25" customWidth="1"/>
    <col min="7" max="7" width="5.125" customWidth="1"/>
    <col min="8" max="8" width="17.25" customWidth="1"/>
    <col min="9" max="10" width="8.875" customWidth="1"/>
    <col min="11" max="11" width="12.625" customWidth="1"/>
    <col min="12" max="13" width="12.5" customWidth="1"/>
  </cols>
  <sheetData>
    <row r="1" spans="1:13" ht="20.100000000000001" customHeight="1" x14ac:dyDescent="0.15">
      <c r="A1" s="77" t="s">
        <v>0</v>
      </c>
      <c r="B1" s="77"/>
      <c r="C1" s="77"/>
      <c r="D1" s="4"/>
      <c r="E1" s="20"/>
      <c r="F1" s="20"/>
      <c r="G1" s="20"/>
      <c r="H1" s="20"/>
      <c r="I1" s="20"/>
      <c r="J1" s="20"/>
      <c r="K1" s="4"/>
      <c r="L1" s="4"/>
      <c r="M1" s="4"/>
    </row>
    <row r="2" spans="1:13" ht="20.100000000000001" customHeight="1" x14ac:dyDescent="0.15">
      <c r="A2" s="4" t="s">
        <v>1</v>
      </c>
      <c r="B2" s="4" t="s">
        <v>2</v>
      </c>
      <c r="C2" s="6" t="s">
        <v>3</v>
      </c>
      <c r="D2" s="7" t="s">
        <v>4</v>
      </c>
      <c r="E2" s="20"/>
      <c r="F2" s="20"/>
      <c r="G2" s="20"/>
      <c r="H2" s="20"/>
      <c r="I2" s="20"/>
      <c r="J2" s="20"/>
      <c r="K2" s="4"/>
      <c r="L2" s="4"/>
      <c r="M2" s="4"/>
    </row>
    <row r="3" spans="1:13" ht="20.100000000000001" customHeight="1" x14ac:dyDescent="0.15">
      <c r="A3" s="8" t="s">
        <v>5</v>
      </c>
      <c r="B3" s="9" t="s">
        <v>6</v>
      </c>
      <c r="C3" s="9">
        <f>7000*6</f>
        <v>42000</v>
      </c>
      <c r="D3" s="10">
        <f t="shared" ref="D3:D14" si="0">C3*0.8</f>
        <v>33600</v>
      </c>
      <c r="E3" s="20"/>
      <c r="F3" s="20"/>
      <c r="G3" s="20"/>
      <c r="H3" s="20"/>
      <c r="I3" s="20"/>
      <c r="J3" s="20"/>
      <c r="K3" s="4"/>
      <c r="L3" s="4"/>
      <c r="M3" s="4"/>
    </row>
    <row r="4" spans="1:13" ht="20.100000000000001" customHeight="1" x14ac:dyDescent="0.15">
      <c r="A4" s="11" t="s">
        <v>7</v>
      </c>
      <c r="B4" s="9" t="s">
        <v>6</v>
      </c>
      <c r="C4" s="9">
        <f>7000*7</f>
        <v>49000</v>
      </c>
      <c r="D4" s="10">
        <f t="shared" si="0"/>
        <v>39200</v>
      </c>
      <c r="E4" s="20"/>
      <c r="F4" s="20"/>
      <c r="G4" s="20"/>
      <c r="H4" s="20"/>
      <c r="I4" s="20"/>
      <c r="J4" s="20"/>
      <c r="K4" s="4"/>
      <c r="L4" s="4"/>
      <c r="M4" s="4"/>
    </row>
    <row r="5" spans="1:13" ht="20.100000000000001" customHeight="1" x14ac:dyDescent="0.15">
      <c r="A5" s="11" t="s">
        <v>8</v>
      </c>
      <c r="B5" s="9" t="s">
        <v>6</v>
      </c>
      <c r="C5" s="9">
        <f>7000*6</f>
        <v>42000</v>
      </c>
      <c r="D5" s="10">
        <f t="shared" si="0"/>
        <v>33600</v>
      </c>
      <c r="E5" s="20"/>
      <c r="F5" s="20"/>
      <c r="G5" s="20"/>
      <c r="H5" s="20"/>
      <c r="I5" s="20"/>
      <c r="J5" s="20"/>
      <c r="K5" s="4"/>
      <c r="L5" s="4"/>
      <c r="M5" s="4"/>
    </row>
    <row r="6" spans="1:13" ht="20.100000000000001" customHeight="1" x14ac:dyDescent="0.15">
      <c r="A6" s="11" t="s">
        <v>9</v>
      </c>
      <c r="B6" s="9" t="s">
        <v>6</v>
      </c>
      <c r="C6" s="9">
        <f>7000*0.6*5</f>
        <v>21000</v>
      </c>
      <c r="D6" s="10">
        <f t="shared" si="0"/>
        <v>16800</v>
      </c>
      <c r="E6" s="20"/>
      <c r="F6" s="20"/>
      <c r="G6" s="20"/>
      <c r="H6" s="20"/>
      <c r="I6" s="20"/>
      <c r="J6" s="20"/>
      <c r="K6" s="4"/>
      <c r="L6" s="4"/>
      <c r="M6" s="4"/>
    </row>
    <row r="7" spans="1:13" ht="20.100000000000001" customHeight="1" x14ac:dyDescent="0.15">
      <c r="A7" s="11" t="s">
        <v>10</v>
      </c>
      <c r="B7" s="9" t="s">
        <v>11</v>
      </c>
      <c r="C7" s="9">
        <f>5000*7*0.6</f>
        <v>21000</v>
      </c>
      <c r="D7" s="10">
        <f t="shared" si="0"/>
        <v>16800</v>
      </c>
      <c r="E7" s="20"/>
      <c r="F7" s="20"/>
      <c r="G7" s="20"/>
      <c r="H7" s="20"/>
      <c r="I7" s="20"/>
      <c r="J7" s="20"/>
      <c r="K7" s="4"/>
      <c r="L7" s="4"/>
      <c r="M7" s="4"/>
    </row>
    <row r="8" spans="1:13" ht="20.100000000000001" customHeight="1" x14ac:dyDescent="0.15">
      <c r="A8" s="11" t="s">
        <v>12</v>
      </c>
      <c r="B8" s="9" t="s">
        <v>11</v>
      </c>
      <c r="C8" s="9">
        <f>5000*5*0.6</f>
        <v>15000</v>
      </c>
      <c r="D8" s="10">
        <f t="shared" si="0"/>
        <v>12000</v>
      </c>
      <c r="E8" s="20"/>
      <c r="F8" s="20"/>
      <c r="G8" s="20"/>
      <c r="H8" s="20"/>
      <c r="I8" s="20"/>
      <c r="J8" s="20"/>
      <c r="K8" s="4"/>
      <c r="L8" s="4"/>
      <c r="M8" s="4"/>
    </row>
    <row r="9" spans="1:13" ht="20.100000000000001" customHeight="1" x14ac:dyDescent="0.15">
      <c r="A9" s="11" t="s">
        <v>13</v>
      </c>
      <c r="B9" s="9" t="s">
        <v>11</v>
      </c>
      <c r="C9" s="9">
        <f>5000*2*0.6</f>
        <v>6000</v>
      </c>
      <c r="D9" s="10">
        <f t="shared" si="0"/>
        <v>4800</v>
      </c>
      <c r="E9" s="20"/>
      <c r="F9" s="20"/>
      <c r="G9" s="20"/>
      <c r="H9" s="20"/>
      <c r="I9" s="20"/>
      <c r="J9" s="20"/>
      <c r="K9" s="4"/>
      <c r="L9" s="4"/>
      <c r="M9" s="4"/>
    </row>
    <row r="10" spans="1:13" ht="20.100000000000001" customHeight="1" x14ac:dyDescent="0.15">
      <c r="A10" s="11" t="s">
        <v>14</v>
      </c>
      <c r="B10" s="9" t="s">
        <v>11</v>
      </c>
      <c r="C10" s="9">
        <f>5000*6</f>
        <v>30000</v>
      </c>
      <c r="D10" s="10">
        <f t="shared" si="0"/>
        <v>24000</v>
      </c>
      <c r="E10" s="20"/>
      <c r="F10" s="20"/>
      <c r="G10" s="20"/>
      <c r="H10" s="20"/>
      <c r="I10" s="20"/>
      <c r="J10" s="20"/>
      <c r="K10" s="4"/>
      <c r="L10" s="4"/>
      <c r="M10" s="4"/>
    </row>
    <row r="11" spans="1:13" ht="20.100000000000001" customHeight="1" x14ac:dyDescent="0.15">
      <c r="A11" s="11" t="s">
        <v>15</v>
      </c>
      <c r="B11" s="9" t="s">
        <v>11</v>
      </c>
      <c r="C11" s="9">
        <f>5000*3*0.6</f>
        <v>9000</v>
      </c>
      <c r="D11" s="10">
        <f t="shared" si="0"/>
        <v>7200</v>
      </c>
      <c r="E11" s="20"/>
      <c r="F11" s="20"/>
      <c r="G11" s="20"/>
      <c r="H11" s="20"/>
      <c r="I11" s="20"/>
      <c r="J11" s="20"/>
      <c r="K11" s="4"/>
      <c r="L11" s="4"/>
      <c r="M11" s="4"/>
    </row>
    <row r="12" spans="1:13" ht="20.100000000000001" customHeight="1" x14ac:dyDescent="0.15">
      <c r="A12" s="11" t="s">
        <v>16</v>
      </c>
      <c r="B12" s="9" t="s">
        <v>11</v>
      </c>
      <c r="C12" s="9">
        <f>5000*2*0.6</f>
        <v>6000</v>
      </c>
      <c r="D12" s="10">
        <f t="shared" si="0"/>
        <v>4800</v>
      </c>
      <c r="E12" s="40"/>
      <c r="F12" s="40"/>
      <c r="G12" s="40"/>
      <c r="H12" s="40"/>
      <c r="I12" s="40"/>
      <c r="J12" s="40"/>
      <c r="K12" s="12"/>
      <c r="L12" s="12"/>
      <c r="M12" s="12"/>
    </row>
    <row r="13" spans="1:13" ht="20.100000000000001" customHeight="1" x14ac:dyDescent="0.15">
      <c r="A13" s="11" t="s">
        <v>17</v>
      </c>
      <c r="B13" s="9" t="s">
        <v>18</v>
      </c>
      <c r="C13" s="41">
        <f>3000*0.6*2</f>
        <v>3600</v>
      </c>
      <c r="D13" s="10">
        <f t="shared" si="0"/>
        <v>2880</v>
      </c>
      <c r="E13" s="40"/>
      <c r="F13" s="40"/>
      <c r="G13" s="40"/>
      <c r="H13" s="40"/>
      <c r="I13" s="40"/>
      <c r="J13" s="40"/>
      <c r="K13" s="12"/>
      <c r="L13" s="12"/>
      <c r="M13" s="12"/>
    </row>
    <row r="14" spans="1:13" ht="20.100000000000001" customHeight="1" x14ac:dyDescent="0.15">
      <c r="A14" s="11" t="s">
        <v>19</v>
      </c>
      <c r="B14" s="9" t="s">
        <v>18</v>
      </c>
      <c r="C14" s="41">
        <f>3000*3</f>
        <v>9000</v>
      </c>
      <c r="D14" s="10">
        <f t="shared" si="0"/>
        <v>7200</v>
      </c>
      <c r="E14" s="40"/>
      <c r="F14" s="40"/>
      <c r="G14" s="40"/>
      <c r="H14" s="40"/>
      <c r="I14" s="40"/>
      <c r="J14" s="40"/>
      <c r="K14" s="12"/>
      <c r="L14" s="12"/>
      <c r="M14" s="12"/>
    </row>
    <row r="15" spans="1:13" ht="20.100000000000001" customHeight="1" x14ac:dyDescent="0.15">
      <c r="A15" s="4"/>
      <c r="B15" s="4" t="s">
        <v>20</v>
      </c>
      <c r="C15" s="4">
        <f>SUM(C3:C14)</f>
        <v>253600</v>
      </c>
      <c r="D15" s="4">
        <f>SUM(D3:D14)</f>
        <v>202880</v>
      </c>
      <c r="E15" s="20"/>
      <c r="F15" s="20">
        <f>D15+进步奖!D12</f>
        <v>342080</v>
      </c>
      <c r="G15" s="20"/>
      <c r="H15" s="20"/>
      <c r="I15" s="20"/>
      <c r="J15" s="20"/>
      <c r="K15" s="4"/>
      <c r="L15" s="4"/>
      <c r="M15" s="4"/>
    </row>
    <row r="16" spans="1:13" ht="20.100000000000001" customHeight="1" x14ac:dyDescent="0.15">
      <c r="A16" s="42"/>
      <c r="B16" s="42" t="s">
        <v>2</v>
      </c>
      <c r="C16" s="42" t="s">
        <v>3</v>
      </c>
      <c r="D16" s="43" t="s">
        <v>4</v>
      </c>
      <c r="E16" s="44"/>
      <c r="F16" s="44"/>
      <c r="G16" s="44"/>
      <c r="H16" s="44"/>
      <c r="I16" s="44"/>
      <c r="J16" s="44"/>
      <c r="K16" s="42"/>
      <c r="L16" s="42"/>
      <c r="M16" s="42"/>
    </row>
    <row r="17" spans="1:13" ht="20.100000000000001" customHeight="1" x14ac:dyDescent="0.15">
      <c r="A17" s="45" t="s">
        <v>21</v>
      </c>
      <c r="B17" s="46" t="s">
        <v>6</v>
      </c>
      <c r="C17" s="46">
        <v>49000</v>
      </c>
      <c r="D17" s="47">
        <v>39200</v>
      </c>
      <c r="E17" s="44"/>
      <c r="F17" s="44"/>
      <c r="G17" s="44"/>
      <c r="H17" s="44"/>
      <c r="I17" s="78" t="s">
        <v>22</v>
      </c>
      <c r="J17" s="79"/>
      <c r="K17" s="48"/>
      <c r="L17" s="48"/>
      <c r="M17" s="48"/>
    </row>
    <row r="18" spans="1:13" ht="20.100000000000001" customHeight="1" x14ac:dyDescent="0.15">
      <c r="A18" s="48" t="s">
        <v>23</v>
      </c>
      <c r="B18" s="48" t="s">
        <v>1</v>
      </c>
      <c r="C18" s="48" t="s">
        <v>24</v>
      </c>
      <c r="D18" s="48" t="s">
        <v>25</v>
      </c>
      <c r="E18" s="48" t="s">
        <v>26</v>
      </c>
      <c r="F18" s="48" t="s">
        <v>27</v>
      </c>
      <c r="G18" s="48" t="s">
        <v>28</v>
      </c>
      <c r="H18" s="48" t="s">
        <v>29</v>
      </c>
      <c r="I18" s="71" t="s">
        <v>30</v>
      </c>
      <c r="J18" s="71" t="s">
        <v>31</v>
      </c>
      <c r="K18" s="48" t="s">
        <v>32</v>
      </c>
      <c r="L18" s="48" t="s">
        <v>33</v>
      </c>
      <c r="M18" s="48" t="s">
        <v>20</v>
      </c>
    </row>
    <row r="19" spans="1:13" ht="20.100000000000001" customHeight="1" x14ac:dyDescent="0.15">
      <c r="A19" s="49" t="s">
        <v>34</v>
      </c>
      <c r="B19" s="50" t="s">
        <v>35</v>
      </c>
      <c r="C19" s="50">
        <v>43</v>
      </c>
      <c r="D19" s="51">
        <v>55.6490683229814</v>
      </c>
      <c r="E19" s="51">
        <v>53.625</v>
      </c>
      <c r="F19" s="52">
        <f t="shared" ref="F19:F25" si="1">E19/D19</f>
        <v>0.96362799263351695</v>
      </c>
      <c r="G19" s="48">
        <v>1</v>
      </c>
      <c r="H19" s="53" t="s">
        <v>36</v>
      </c>
      <c r="I19" s="48">
        <v>7</v>
      </c>
      <c r="J19" s="48">
        <v>8</v>
      </c>
      <c r="K19" s="48">
        <f t="shared" ref="K19:K25" si="2">$D$17*0.4*SUM(I19:J19)/SUM($I$19:$J$25)</f>
        <v>2240</v>
      </c>
      <c r="L19" s="72">
        <f t="shared" ref="L19:L25" si="3">$D$17*0.6*0.7*E19/SUM($E$19:$E$25)+$D$17*0.6*0.3*F19/SUM($F$19:$F$25)</f>
        <v>3923.5823094739799</v>
      </c>
      <c r="M19" s="72">
        <f t="shared" ref="M19:M26" si="4">SUM(K19:L19)</f>
        <v>6163.5823094739799</v>
      </c>
    </row>
    <row r="20" spans="1:13" ht="20.100000000000001" customHeight="1" x14ac:dyDescent="0.15">
      <c r="A20" s="49" t="s">
        <v>37</v>
      </c>
      <c r="B20" s="50" t="s">
        <v>35</v>
      </c>
      <c r="C20" s="50">
        <v>40</v>
      </c>
      <c r="D20" s="51">
        <v>55.6490683229814</v>
      </c>
      <c r="E20" s="51">
        <v>51.903225806451601</v>
      </c>
      <c r="F20" s="52">
        <f t="shared" si="1"/>
        <v>0.93268813603869705</v>
      </c>
      <c r="G20" s="48">
        <v>2</v>
      </c>
      <c r="H20" s="53" t="s">
        <v>36</v>
      </c>
      <c r="I20" s="48">
        <v>7</v>
      </c>
      <c r="J20" s="48">
        <v>8</v>
      </c>
      <c r="K20" s="48">
        <f t="shared" si="2"/>
        <v>2240</v>
      </c>
      <c r="L20" s="72">
        <f t="shared" si="3"/>
        <v>3797.6051949431599</v>
      </c>
      <c r="M20" s="72">
        <f t="shared" si="4"/>
        <v>6037.6051949431603</v>
      </c>
    </row>
    <row r="21" spans="1:13" ht="20.100000000000001" customHeight="1" x14ac:dyDescent="0.15">
      <c r="A21" s="49" t="s">
        <v>38</v>
      </c>
      <c r="B21" s="50" t="s">
        <v>35</v>
      </c>
      <c r="C21" s="50">
        <v>40</v>
      </c>
      <c r="D21" s="51">
        <v>55.6490683229814</v>
      </c>
      <c r="E21" s="51">
        <v>45.804347826087003</v>
      </c>
      <c r="F21" s="52">
        <f t="shared" si="1"/>
        <v>0.82309280651822103</v>
      </c>
      <c r="G21" s="48">
        <v>3</v>
      </c>
      <c r="H21" s="53" t="s">
        <v>39</v>
      </c>
      <c r="I21" s="48">
        <v>7</v>
      </c>
      <c r="J21" s="48">
        <v>8</v>
      </c>
      <c r="K21" s="48">
        <f t="shared" si="2"/>
        <v>2240</v>
      </c>
      <c r="L21" s="72">
        <f t="shared" si="3"/>
        <v>3351.3683697422498</v>
      </c>
      <c r="M21" s="72">
        <f t="shared" si="4"/>
        <v>5591.3683697422503</v>
      </c>
    </row>
    <row r="22" spans="1:13" ht="20.100000000000001" customHeight="1" x14ac:dyDescent="0.15">
      <c r="A22" s="49" t="s">
        <v>40</v>
      </c>
      <c r="B22" s="50" t="s">
        <v>35</v>
      </c>
      <c r="C22" s="50">
        <v>45</v>
      </c>
      <c r="D22" s="51">
        <v>55.6490683229814</v>
      </c>
      <c r="E22" s="51">
        <v>44.8333333333333</v>
      </c>
      <c r="F22" s="52">
        <f t="shared" si="1"/>
        <v>0.80564391614115305</v>
      </c>
      <c r="G22" s="48">
        <v>4</v>
      </c>
      <c r="H22" s="53" t="s">
        <v>41</v>
      </c>
      <c r="I22" s="73">
        <v>7</v>
      </c>
      <c r="J22" s="48">
        <v>8</v>
      </c>
      <c r="K22" s="48">
        <f t="shared" si="2"/>
        <v>2240</v>
      </c>
      <c r="L22" s="72">
        <f t="shared" si="3"/>
        <v>3280.3221173224601</v>
      </c>
      <c r="M22" s="72">
        <f t="shared" si="4"/>
        <v>5520.3221173224601</v>
      </c>
    </row>
    <row r="23" spans="1:13" ht="20.100000000000001" customHeight="1" x14ac:dyDescent="0.15">
      <c r="A23" s="49" t="s">
        <v>42</v>
      </c>
      <c r="B23" s="50" t="s">
        <v>35</v>
      </c>
      <c r="C23" s="50">
        <v>44</v>
      </c>
      <c r="D23" s="51">
        <v>55.6490683229814</v>
      </c>
      <c r="E23" s="51">
        <v>43.8</v>
      </c>
      <c r="F23" s="52">
        <f t="shared" si="1"/>
        <v>0.78707517160555795</v>
      </c>
      <c r="G23" s="48">
        <v>5</v>
      </c>
      <c r="H23" s="53" t="s">
        <v>43</v>
      </c>
      <c r="I23" s="48">
        <v>7</v>
      </c>
      <c r="J23" s="48">
        <v>8</v>
      </c>
      <c r="K23" s="48">
        <f t="shared" si="2"/>
        <v>2240</v>
      </c>
      <c r="L23" s="72">
        <f t="shared" si="3"/>
        <v>3204.7161800458798</v>
      </c>
      <c r="M23" s="72">
        <f t="shared" si="4"/>
        <v>5444.7161800458798</v>
      </c>
    </row>
    <row r="24" spans="1:13" ht="20.100000000000001" customHeight="1" x14ac:dyDescent="0.15">
      <c r="A24" s="49" t="s">
        <v>44</v>
      </c>
      <c r="B24" s="50" t="s">
        <v>35</v>
      </c>
      <c r="C24" s="50">
        <v>41</v>
      </c>
      <c r="D24" s="51">
        <v>55.6490683229814</v>
      </c>
      <c r="E24" s="51">
        <v>42.808510638297903</v>
      </c>
      <c r="F24" s="52">
        <f t="shared" si="1"/>
        <v>0.76925835289535804</v>
      </c>
      <c r="G24" s="48">
        <v>6</v>
      </c>
      <c r="H24" s="53" t="s">
        <v>45</v>
      </c>
      <c r="I24" s="48">
        <v>7</v>
      </c>
      <c r="J24" s="48">
        <v>8</v>
      </c>
      <c r="K24" s="48">
        <f t="shared" si="2"/>
        <v>2240</v>
      </c>
      <c r="L24" s="72">
        <f t="shared" si="3"/>
        <v>3132.17184215113</v>
      </c>
      <c r="M24" s="72">
        <f t="shared" si="4"/>
        <v>5372.1718421511296</v>
      </c>
    </row>
    <row r="25" spans="1:13" ht="20.100000000000001" customHeight="1" x14ac:dyDescent="0.15">
      <c r="A25" s="49" t="s">
        <v>46</v>
      </c>
      <c r="B25" s="50" t="s">
        <v>35</v>
      </c>
      <c r="C25" s="50">
        <v>48</v>
      </c>
      <c r="D25" s="51">
        <v>55.6490683229814</v>
      </c>
      <c r="E25" s="51">
        <v>38.681818181818201</v>
      </c>
      <c r="F25" s="52">
        <f t="shared" si="1"/>
        <v>0.69510270966825505</v>
      </c>
      <c r="G25" s="48">
        <v>7</v>
      </c>
      <c r="H25" s="53" t="s">
        <v>47</v>
      </c>
      <c r="I25" s="48">
        <v>7</v>
      </c>
      <c r="J25" s="48">
        <v>8</v>
      </c>
      <c r="K25" s="48">
        <f t="shared" si="2"/>
        <v>2240</v>
      </c>
      <c r="L25" s="72">
        <f t="shared" si="3"/>
        <v>2830.23398632114</v>
      </c>
      <c r="M25" s="72">
        <f t="shared" si="4"/>
        <v>5070.23398632114</v>
      </c>
    </row>
    <row r="26" spans="1:13" ht="20.100000000000001" customHeight="1" x14ac:dyDescent="0.15">
      <c r="A26" s="42"/>
      <c r="B26" s="42"/>
      <c r="C26" s="42"/>
      <c r="D26" s="54"/>
      <c r="E26" s="54"/>
      <c r="F26" s="55"/>
      <c r="G26" s="56"/>
      <c r="H26" s="42"/>
      <c r="I26" s="44"/>
      <c r="J26" s="48" t="s">
        <v>20</v>
      </c>
      <c r="K26" s="74">
        <f>SUM(K19:K25)</f>
        <v>15680</v>
      </c>
      <c r="L26" s="74">
        <f>SUM(L19:L25)</f>
        <v>23520</v>
      </c>
      <c r="M26" s="75">
        <f t="shared" si="4"/>
        <v>39200</v>
      </c>
    </row>
    <row r="27" spans="1:13" ht="20.100000000000001" customHeight="1" x14ac:dyDescent="0.15">
      <c r="A27" s="57"/>
      <c r="B27" s="42" t="s">
        <v>2</v>
      </c>
      <c r="C27" s="42" t="s">
        <v>3</v>
      </c>
      <c r="D27" s="42" t="s">
        <v>4</v>
      </c>
      <c r="E27" s="54"/>
      <c r="F27" s="58"/>
      <c r="G27" s="42"/>
      <c r="H27" s="42"/>
      <c r="I27" s="44"/>
      <c r="J27" s="44"/>
      <c r="K27" s="42"/>
      <c r="L27" s="42"/>
      <c r="M27" s="42"/>
    </row>
    <row r="28" spans="1:13" ht="20.100000000000001" customHeight="1" x14ac:dyDescent="0.15">
      <c r="A28" s="59" t="s">
        <v>48</v>
      </c>
      <c r="B28" s="48" t="s">
        <v>11</v>
      </c>
      <c r="C28" s="48">
        <v>6000</v>
      </c>
      <c r="D28" s="60">
        <v>4800</v>
      </c>
      <c r="E28" s="54"/>
      <c r="F28" s="58"/>
      <c r="G28" s="42"/>
      <c r="H28" s="42"/>
      <c r="I28" s="78" t="s">
        <v>22</v>
      </c>
      <c r="J28" s="79"/>
      <c r="K28" s="48"/>
      <c r="L28" s="48"/>
      <c r="M28" s="48"/>
    </row>
    <row r="29" spans="1:13" ht="20.100000000000001" customHeight="1" x14ac:dyDescent="0.15">
      <c r="A29" s="48" t="s">
        <v>23</v>
      </c>
      <c r="B29" s="48" t="s">
        <v>1</v>
      </c>
      <c r="C29" s="48" t="s">
        <v>24</v>
      </c>
      <c r="D29" s="48" t="s">
        <v>25</v>
      </c>
      <c r="E29" s="48" t="s">
        <v>26</v>
      </c>
      <c r="F29" s="48" t="s">
        <v>27</v>
      </c>
      <c r="G29" s="48" t="s">
        <v>28</v>
      </c>
      <c r="H29" s="48" t="s">
        <v>29</v>
      </c>
      <c r="I29" s="71" t="s">
        <v>30</v>
      </c>
      <c r="J29" s="71" t="s">
        <v>31</v>
      </c>
      <c r="K29" s="48" t="s">
        <v>32</v>
      </c>
      <c r="L29" s="48" t="s">
        <v>33</v>
      </c>
      <c r="M29" s="48" t="s">
        <v>20</v>
      </c>
    </row>
    <row r="30" spans="1:13" ht="20.100000000000001" customHeight="1" x14ac:dyDescent="0.15">
      <c r="A30" s="49" t="s">
        <v>49</v>
      </c>
      <c r="B30" s="50" t="s">
        <v>50</v>
      </c>
      <c r="C30" s="50">
        <v>44</v>
      </c>
      <c r="D30" s="51">
        <v>74.484364820846906</v>
      </c>
      <c r="E30" s="51">
        <v>70.334999999999994</v>
      </c>
      <c r="F30" s="61">
        <f>E30/D30</f>
        <v>0.94429213660038402</v>
      </c>
      <c r="G30" s="48">
        <v>1</v>
      </c>
      <c r="H30" s="53" t="s">
        <v>51</v>
      </c>
      <c r="I30" s="48">
        <v>5</v>
      </c>
      <c r="J30" s="48">
        <v>6</v>
      </c>
      <c r="K30" s="48">
        <f>$D$28*0.4*SUM(I30:J30)/SUM($I$30:$J$31)</f>
        <v>960</v>
      </c>
      <c r="L30" s="72">
        <f>$D$28*0.6*0.7*E30/SUM($E$30:$E$31)+$D$28*0.6*0.3*F30/SUM($F$30:$F$31)</f>
        <v>1495.8614647703901</v>
      </c>
      <c r="M30" s="72">
        <f t="shared" ref="M30:M32" si="5">SUM(K30:L30)</f>
        <v>2455.8614647703898</v>
      </c>
    </row>
    <row r="31" spans="1:13" ht="20.100000000000001" customHeight="1" x14ac:dyDescent="0.15">
      <c r="A31" s="49" t="s">
        <v>52</v>
      </c>
      <c r="B31" s="50" t="s">
        <v>50</v>
      </c>
      <c r="C31" s="50">
        <v>41</v>
      </c>
      <c r="D31" s="51">
        <v>74.484364820846906</v>
      </c>
      <c r="E31" s="51">
        <v>65.081818181818207</v>
      </c>
      <c r="F31" s="61">
        <f>E31/D31</f>
        <v>0.87376482753603202</v>
      </c>
      <c r="G31" s="48">
        <v>2</v>
      </c>
      <c r="H31" s="53" t="s">
        <v>53</v>
      </c>
      <c r="I31" s="48">
        <v>5</v>
      </c>
      <c r="J31" s="48">
        <v>6</v>
      </c>
      <c r="K31" s="48">
        <f>$D$28*0.4*SUM(I31:J31)/SUM($I$30:$J$31)</f>
        <v>960</v>
      </c>
      <c r="L31" s="72">
        <f>$D$28*0.6*0.7*E31/SUM($E$30:$E$31)+$D$28*0.6*0.3*F31/SUM($F$30:$F$31)</f>
        <v>1384.1385352296099</v>
      </c>
      <c r="M31" s="72">
        <f t="shared" si="5"/>
        <v>2344.1385352296102</v>
      </c>
    </row>
    <row r="32" spans="1:13" ht="20.100000000000001" customHeight="1" x14ac:dyDescent="0.15">
      <c r="A32" s="62"/>
      <c r="B32" s="48"/>
      <c r="C32" s="48"/>
      <c r="D32" s="63"/>
      <c r="E32" s="54"/>
      <c r="F32" s="58"/>
      <c r="G32" s="42"/>
      <c r="H32" s="42"/>
      <c r="I32" s="44"/>
      <c r="J32" s="48" t="s">
        <v>20</v>
      </c>
      <c r="K32" s="75">
        <f>SUM(K30:K31)</f>
        <v>1920</v>
      </c>
      <c r="L32" s="75">
        <f>SUM(L30:L31)</f>
        <v>2880</v>
      </c>
      <c r="M32" s="75">
        <f t="shared" si="5"/>
        <v>4800</v>
      </c>
    </row>
    <row r="33" spans="1:13" ht="20.100000000000001" customHeight="1" x14ac:dyDescent="0.15">
      <c r="A33" s="62"/>
      <c r="B33" s="42" t="s">
        <v>2</v>
      </c>
      <c r="C33" s="42" t="s">
        <v>3</v>
      </c>
      <c r="D33" s="42" t="s">
        <v>4</v>
      </c>
      <c r="E33" s="54"/>
      <c r="F33" s="58"/>
      <c r="G33" s="42"/>
      <c r="H33" s="42"/>
      <c r="I33" s="44"/>
      <c r="J33" s="44"/>
      <c r="K33" s="42"/>
      <c r="L33" s="42"/>
      <c r="M33" s="42"/>
    </row>
    <row r="34" spans="1:13" ht="20.100000000000001" customHeight="1" x14ac:dyDescent="0.15">
      <c r="A34" s="59" t="s">
        <v>54</v>
      </c>
      <c r="B34" s="48" t="s">
        <v>6</v>
      </c>
      <c r="C34" s="48">
        <v>42000</v>
      </c>
      <c r="D34" s="60">
        <v>33600</v>
      </c>
      <c r="E34" s="42" t="s">
        <v>55</v>
      </c>
      <c r="F34" s="42"/>
      <c r="G34" s="42" t="s">
        <v>55</v>
      </c>
      <c r="H34" s="44"/>
      <c r="I34" s="78" t="s">
        <v>22</v>
      </c>
      <c r="J34" s="79"/>
      <c r="K34" s="48"/>
      <c r="L34" s="48"/>
      <c r="M34" s="48"/>
    </row>
    <row r="35" spans="1:13" ht="20.100000000000001" customHeight="1" x14ac:dyDescent="0.15">
      <c r="A35" s="48" t="s">
        <v>23</v>
      </c>
      <c r="B35" s="48" t="s">
        <v>1</v>
      </c>
      <c r="C35" s="48" t="s">
        <v>24</v>
      </c>
      <c r="D35" s="48" t="s">
        <v>25</v>
      </c>
      <c r="E35" s="48" t="s">
        <v>26</v>
      </c>
      <c r="F35" s="48" t="s">
        <v>27</v>
      </c>
      <c r="G35" s="48" t="s">
        <v>28</v>
      </c>
      <c r="H35" s="48" t="s">
        <v>29</v>
      </c>
      <c r="I35" s="71" t="s">
        <v>30</v>
      </c>
      <c r="J35" s="71" t="s">
        <v>31</v>
      </c>
      <c r="K35" s="48" t="s">
        <v>32</v>
      </c>
      <c r="L35" s="48" t="s">
        <v>33</v>
      </c>
      <c r="M35" s="48" t="s">
        <v>20</v>
      </c>
    </row>
    <row r="36" spans="1:13" ht="20.100000000000001" customHeight="1" x14ac:dyDescent="0.15">
      <c r="A36" s="49" t="s">
        <v>34</v>
      </c>
      <c r="B36" s="50" t="s">
        <v>56</v>
      </c>
      <c r="C36" s="50">
        <v>44</v>
      </c>
      <c r="D36" s="51">
        <v>86.434782608695699</v>
      </c>
      <c r="E36" s="51">
        <v>90.6</v>
      </c>
      <c r="F36" s="52">
        <f t="shared" ref="F36:F42" si="6">E36/D36</f>
        <v>1.0481891348088499</v>
      </c>
      <c r="G36" s="48">
        <v>1</v>
      </c>
      <c r="H36" s="53" t="s">
        <v>57</v>
      </c>
      <c r="I36" s="48">
        <v>7</v>
      </c>
      <c r="J36" s="48">
        <v>7</v>
      </c>
      <c r="K36" s="48">
        <f t="shared" ref="K36:K42" si="7">$D$34*0.4*SUM(I36:J36)/SUM($I$36:$J$42)</f>
        <v>1920</v>
      </c>
      <c r="L36" s="72">
        <f t="shared" ref="L36:L42" si="8">$D$34*0.6*0.7*E36/SUM($E$36:$E$42)+$D$34*0.6*0.3*F36/SUM($F$36:$F$42)</f>
        <v>3056.6066463840102</v>
      </c>
      <c r="M36" s="72">
        <f t="shared" ref="M36:M43" si="9">SUM(K36:L36)</f>
        <v>4976.6066463840098</v>
      </c>
    </row>
    <row r="37" spans="1:13" ht="20.100000000000001" customHeight="1" x14ac:dyDescent="0.15">
      <c r="A37" s="49" t="s">
        <v>46</v>
      </c>
      <c r="B37" s="50" t="s">
        <v>56</v>
      </c>
      <c r="C37" s="50">
        <v>45</v>
      </c>
      <c r="D37" s="51">
        <v>86.434782608695699</v>
      </c>
      <c r="E37" s="51">
        <v>87.840909090909093</v>
      </c>
      <c r="F37" s="52">
        <f t="shared" si="6"/>
        <v>1.0162680629229901</v>
      </c>
      <c r="G37" s="48">
        <v>2</v>
      </c>
      <c r="H37" s="53" t="s">
        <v>58</v>
      </c>
      <c r="I37" s="48">
        <v>7</v>
      </c>
      <c r="J37" s="48">
        <v>7</v>
      </c>
      <c r="K37" s="48">
        <f t="shared" si="7"/>
        <v>1920</v>
      </c>
      <c r="L37" s="72">
        <f t="shared" si="8"/>
        <v>2963.5221473696101</v>
      </c>
      <c r="M37" s="72">
        <f t="shared" si="9"/>
        <v>4883.5221473696101</v>
      </c>
    </row>
    <row r="38" spans="1:13" ht="20.100000000000001" customHeight="1" x14ac:dyDescent="0.15">
      <c r="A38" s="49" t="s">
        <v>42</v>
      </c>
      <c r="B38" s="50" t="s">
        <v>56</v>
      </c>
      <c r="C38" s="50">
        <v>40</v>
      </c>
      <c r="D38" s="51">
        <v>86.434782608695699</v>
      </c>
      <c r="E38" s="51">
        <v>86.7</v>
      </c>
      <c r="F38" s="52">
        <f t="shared" si="6"/>
        <v>1.0030684104627801</v>
      </c>
      <c r="G38" s="48">
        <v>3</v>
      </c>
      <c r="H38" s="53" t="s">
        <v>59</v>
      </c>
      <c r="I38" s="48">
        <v>7</v>
      </c>
      <c r="J38" s="48">
        <v>7</v>
      </c>
      <c r="K38" s="48">
        <f t="shared" si="7"/>
        <v>1920</v>
      </c>
      <c r="L38" s="72">
        <f t="shared" si="8"/>
        <v>2925.0308635926499</v>
      </c>
      <c r="M38" s="72">
        <f t="shared" si="9"/>
        <v>4845.0308635926503</v>
      </c>
    </row>
    <row r="39" spans="1:13" ht="20.100000000000001" customHeight="1" x14ac:dyDescent="0.15">
      <c r="A39" s="49" t="s">
        <v>38</v>
      </c>
      <c r="B39" s="50" t="s">
        <v>56</v>
      </c>
      <c r="C39" s="50">
        <v>48</v>
      </c>
      <c r="D39" s="51">
        <v>86.434782608695699</v>
      </c>
      <c r="E39" s="51">
        <v>86.152173913043498</v>
      </c>
      <c r="F39" s="52">
        <f t="shared" si="6"/>
        <v>0.99673038229376199</v>
      </c>
      <c r="G39" s="48">
        <v>4</v>
      </c>
      <c r="H39" s="53" t="s">
        <v>58</v>
      </c>
      <c r="I39" s="48">
        <v>7</v>
      </c>
      <c r="J39" s="48">
        <v>7</v>
      </c>
      <c r="K39" s="48">
        <f t="shared" si="7"/>
        <v>1920</v>
      </c>
      <c r="L39" s="72">
        <f t="shared" si="8"/>
        <v>2906.54864661192</v>
      </c>
      <c r="M39" s="72">
        <f t="shared" si="9"/>
        <v>4826.54864661192</v>
      </c>
    </row>
    <row r="40" spans="1:13" ht="20.100000000000001" customHeight="1" x14ac:dyDescent="0.15">
      <c r="A40" s="49" t="s">
        <v>44</v>
      </c>
      <c r="B40" s="50" t="s">
        <v>56</v>
      </c>
      <c r="C40" s="50">
        <v>48</v>
      </c>
      <c r="D40" s="51">
        <v>86.434782608695699</v>
      </c>
      <c r="E40" s="51">
        <v>84.893617021276597</v>
      </c>
      <c r="F40" s="52">
        <f t="shared" si="6"/>
        <v>0.98216961342523201</v>
      </c>
      <c r="G40" s="48">
        <v>5</v>
      </c>
      <c r="H40" s="53" t="s">
        <v>60</v>
      </c>
      <c r="I40" s="48">
        <v>7</v>
      </c>
      <c r="J40" s="48">
        <v>7</v>
      </c>
      <c r="K40" s="48">
        <f t="shared" si="7"/>
        <v>1920</v>
      </c>
      <c r="L40" s="72">
        <f t="shared" si="8"/>
        <v>2864.0882342473801</v>
      </c>
      <c r="M40" s="72">
        <f t="shared" si="9"/>
        <v>4784.0882342473797</v>
      </c>
    </row>
    <row r="41" spans="1:13" ht="20.100000000000001" customHeight="1" x14ac:dyDescent="0.15">
      <c r="A41" s="49" t="s">
        <v>40</v>
      </c>
      <c r="B41" s="50" t="s">
        <v>56</v>
      </c>
      <c r="C41" s="50">
        <v>48</v>
      </c>
      <c r="D41" s="51">
        <v>86.434782608695699</v>
      </c>
      <c r="E41" s="51">
        <v>82.3055555555556</v>
      </c>
      <c r="F41" s="52">
        <f t="shared" si="6"/>
        <v>0.95222725240330897</v>
      </c>
      <c r="G41" s="48">
        <v>6</v>
      </c>
      <c r="H41" s="53" t="s">
        <v>61</v>
      </c>
      <c r="I41" s="48">
        <v>7</v>
      </c>
      <c r="J41" s="48">
        <v>7</v>
      </c>
      <c r="K41" s="48">
        <f t="shared" si="7"/>
        <v>1920</v>
      </c>
      <c r="L41" s="72">
        <f t="shared" si="8"/>
        <v>2776.7738205898399</v>
      </c>
      <c r="M41" s="72">
        <f t="shared" si="9"/>
        <v>4696.7738205898404</v>
      </c>
    </row>
    <row r="42" spans="1:13" ht="20.100000000000001" customHeight="1" x14ac:dyDescent="0.15">
      <c r="A42" s="49" t="s">
        <v>37</v>
      </c>
      <c r="B42" s="50" t="s">
        <v>56</v>
      </c>
      <c r="C42" s="50">
        <v>43</v>
      </c>
      <c r="D42" s="51">
        <v>86.434782608695699</v>
      </c>
      <c r="E42" s="51">
        <v>79.064516129032299</v>
      </c>
      <c r="F42" s="52">
        <f t="shared" si="6"/>
        <v>0.91473031738819999</v>
      </c>
      <c r="G42" s="48">
        <v>7</v>
      </c>
      <c r="H42" s="53" t="s">
        <v>62</v>
      </c>
      <c r="I42" s="48">
        <v>7</v>
      </c>
      <c r="J42" s="48">
        <v>7</v>
      </c>
      <c r="K42" s="48">
        <f t="shared" si="7"/>
        <v>1920</v>
      </c>
      <c r="L42" s="72">
        <f t="shared" si="8"/>
        <v>2667.4296412045901</v>
      </c>
      <c r="M42" s="72">
        <f t="shared" si="9"/>
        <v>4587.4296412045896</v>
      </c>
    </row>
    <row r="43" spans="1:13" ht="20.100000000000001" customHeight="1" x14ac:dyDescent="0.15">
      <c r="A43" s="42"/>
      <c r="B43" s="42"/>
      <c r="C43" s="42"/>
      <c r="D43" s="54"/>
      <c r="E43" s="54"/>
      <c r="F43" s="55"/>
      <c r="G43" s="56"/>
      <c r="H43" s="42"/>
      <c r="I43" s="44"/>
      <c r="J43" s="48" t="s">
        <v>20</v>
      </c>
      <c r="K43" s="74">
        <f>SUM(K36:K42)</f>
        <v>13440</v>
      </c>
      <c r="L43" s="74">
        <f>SUM(L36:L42)</f>
        <v>20160</v>
      </c>
      <c r="M43" s="48">
        <f t="shared" si="9"/>
        <v>33600</v>
      </c>
    </row>
    <row r="44" spans="1:13" ht="20.100000000000001" customHeight="1" x14ac:dyDescent="0.15">
      <c r="A44" s="42"/>
      <c r="B44" s="42" t="s">
        <v>2</v>
      </c>
      <c r="C44" s="42" t="s">
        <v>3</v>
      </c>
      <c r="D44" s="42" t="s">
        <v>4</v>
      </c>
      <c r="E44" s="54"/>
      <c r="F44" s="55"/>
      <c r="G44" s="56"/>
      <c r="H44" s="42"/>
      <c r="I44" s="44"/>
      <c r="J44" s="44"/>
      <c r="K44" s="42"/>
      <c r="L44" s="42"/>
      <c r="M44" s="42"/>
    </row>
    <row r="45" spans="1:13" ht="20.100000000000001" customHeight="1" x14ac:dyDescent="0.15">
      <c r="A45" s="59" t="s">
        <v>63</v>
      </c>
      <c r="B45" s="46" t="s">
        <v>11</v>
      </c>
      <c r="C45" s="46">
        <v>15000</v>
      </c>
      <c r="D45" s="60">
        <v>12000</v>
      </c>
      <c r="E45" s="54"/>
      <c r="F45" s="58"/>
      <c r="G45" s="42"/>
      <c r="H45" s="42"/>
      <c r="I45" s="78" t="s">
        <v>22</v>
      </c>
      <c r="J45" s="79"/>
      <c r="K45" s="48"/>
      <c r="L45" s="48"/>
      <c r="M45" s="48"/>
    </row>
    <row r="46" spans="1:13" ht="20.100000000000001" customHeight="1" x14ac:dyDescent="0.15">
      <c r="A46" s="48" t="s">
        <v>23</v>
      </c>
      <c r="B46" s="48" t="s">
        <v>1</v>
      </c>
      <c r="C46" s="48" t="s">
        <v>24</v>
      </c>
      <c r="D46" s="48" t="s">
        <v>25</v>
      </c>
      <c r="E46" s="48" t="s">
        <v>26</v>
      </c>
      <c r="F46" s="48" t="s">
        <v>27</v>
      </c>
      <c r="G46" s="48" t="s">
        <v>28</v>
      </c>
      <c r="H46" s="48" t="s">
        <v>29</v>
      </c>
      <c r="I46" s="71" t="s">
        <v>30</v>
      </c>
      <c r="J46" s="71" t="s">
        <v>31</v>
      </c>
      <c r="K46" s="48" t="s">
        <v>32</v>
      </c>
      <c r="L46" s="48" t="s">
        <v>33</v>
      </c>
      <c r="M46" s="48" t="s">
        <v>20</v>
      </c>
    </row>
    <row r="47" spans="1:13" ht="20.100000000000001" customHeight="1" x14ac:dyDescent="0.15">
      <c r="A47" s="49" t="s">
        <v>64</v>
      </c>
      <c r="B47" s="50" t="s">
        <v>65</v>
      </c>
      <c r="C47" s="50">
        <v>41</v>
      </c>
      <c r="D47" s="51">
        <v>73.749719101123603</v>
      </c>
      <c r="E47" s="51">
        <v>81.537499999999994</v>
      </c>
      <c r="F47" s="64">
        <f t="shared" ref="F47:F53" si="10">E47/D47</f>
        <v>1.1055974313366299</v>
      </c>
      <c r="G47" s="65">
        <v>1</v>
      </c>
      <c r="H47" s="53" t="s">
        <v>66</v>
      </c>
      <c r="I47" s="48">
        <v>6</v>
      </c>
      <c r="J47" s="48">
        <v>5</v>
      </c>
      <c r="K47" s="48">
        <f t="shared" ref="K47:K53" si="11">$D$45*0.4*SUM(I47:J47)/SUM($I$47:$J$53)</f>
        <v>685.71428571428601</v>
      </c>
      <c r="L47" s="72">
        <f t="shared" ref="L47:L53" si="12">$D$45*0.6*0.7*E47/SUM($E$47:$E$53)+$D$45*0.6*0.3*F47/SUM($F$47:$F$53)</f>
        <v>1128.35733067091</v>
      </c>
      <c r="M47" s="72">
        <f t="shared" ref="M47:M54" si="13">SUM(K47:L47)</f>
        <v>1814.0716163852001</v>
      </c>
    </row>
    <row r="48" spans="1:13" ht="20.100000000000001" customHeight="1" x14ac:dyDescent="0.15">
      <c r="A48" s="49" t="s">
        <v>67</v>
      </c>
      <c r="B48" s="50" t="s">
        <v>65</v>
      </c>
      <c r="C48" s="50">
        <v>44</v>
      </c>
      <c r="D48" s="51">
        <v>73.749719101123603</v>
      </c>
      <c r="E48" s="51">
        <v>77.502127659574498</v>
      </c>
      <c r="F48" s="64">
        <f t="shared" si="10"/>
        <v>1.05088030983963</v>
      </c>
      <c r="G48" s="65">
        <v>2</v>
      </c>
      <c r="H48" s="53" t="s">
        <v>68</v>
      </c>
      <c r="I48" s="48">
        <v>6</v>
      </c>
      <c r="J48" s="48">
        <v>5</v>
      </c>
      <c r="K48" s="48">
        <f t="shared" si="11"/>
        <v>685.71428571428601</v>
      </c>
      <c r="L48" s="72">
        <f t="shared" si="12"/>
        <v>1072.5137990160799</v>
      </c>
      <c r="M48" s="72">
        <f t="shared" si="13"/>
        <v>1758.22808473037</v>
      </c>
    </row>
    <row r="49" spans="1:13" ht="20.100000000000001" customHeight="1" x14ac:dyDescent="0.15">
      <c r="A49" s="49" t="s">
        <v>52</v>
      </c>
      <c r="B49" s="50" t="s">
        <v>65</v>
      </c>
      <c r="C49" s="48">
        <v>40</v>
      </c>
      <c r="D49" s="51">
        <v>73.749719101123603</v>
      </c>
      <c r="E49" s="66">
        <v>76.822727272727207</v>
      </c>
      <c r="F49" s="64">
        <f t="shared" si="10"/>
        <v>1.04166806611683</v>
      </c>
      <c r="G49" s="65">
        <v>3</v>
      </c>
      <c r="H49" s="48" t="s">
        <v>68</v>
      </c>
      <c r="I49" s="48">
        <v>6</v>
      </c>
      <c r="J49" s="48">
        <v>5</v>
      </c>
      <c r="K49" s="48">
        <f t="shared" si="11"/>
        <v>685.71428571428601</v>
      </c>
      <c r="L49" s="72">
        <f t="shared" si="12"/>
        <v>1063.11191145564</v>
      </c>
      <c r="M49" s="72">
        <f t="shared" si="13"/>
        <v>1748.8261971699201</v>
      </c>
    </row>
    <row r="50" spans="1:13" ht="20.100000000000001" customHeight="1" x14ac:dyDescent="0.15">
      <c r="A50" s="49" t="s">
        <v>49</v>
      </c>
      <c r="B50" s="50" t="s">
        <v>65</v>
      </c>
      <c r="C50" s="50">
        <v>45</v>
      </c>
      <c r="D50" s="51">
        <v>73.749719101123603</v>
      </c>
      <c r="E50" s="51">
        <v>74.430000000000007</v>
      </c>
      <c r="F50" s="64">
        <f t="shared" si="10"/>
        <v>1.0092241829144299</v>
      </c>
      <c r="G50" s="65">
        <v>4</v>
      </c>
      <c r="H50" s="53" t="s">
        <v>69</v>
      </c>
      <c r="I50" s="48">
        <v>6</v>
      </c>
      <c r="J50" s="48">
        <v>5</v>
      </c>
      <c r="K50" s="48">
        <f t="shared" si="11"/>
        <v>685.71428571428601</v>
      </c>
      <c r="L50" s="72">
        <f t="shared" si="12"/>
        <v>1030.0001364014799</v>
      </c>
      <c r="M50" s="72">
        <f t="shared" si="13"/>
        <v>1715.71442211577</v>
      </c>
    </row>
    <row r="51" spans="1:13" ht="20.100000000000001" customHeight="1" x14ac:dyDescent="0.15">
      <c r="A51" s="49" t="s">
        <v>70</v>
      </c>
      <c r="B51" s="50" t="s">
        <v>65</v>
      </c>
      <c r="C51" s="50">
        <v>40</v>
      </c>
      <c r="D51" s="51">
        <v>73.749719101123603</v>
      </c>
      <c r="E51" s="51">
        <v>73.039130434782606</v>
      </c>
      <c r="F51" s="64">
        <f t="shared" si="10"/>
        <v>0.99036486274114899</v>
      </c>
      <c r="G51" s="65">
        <v>5</v>
      </c>
      <c r="H51" s="53" t="s">
        <v>71</v>
      </c>
      <c r="I51" s="48">
        <v>6</v>
      </c>
      <c r="J51" s="48">
        <v>5</v>
      </c>
      <c r="K51" s="48">
        <f t="shared" si="11"/>
        <v>685.71428571428601</v>
      </c>
      <c r="L51" s="72">
        <f t="shared" si="12"/>
        <v>1010.7525770586</v>
      </c>
      <c r="M51" s="72">
        <f t="shared" si="13"/>
        <v>1696.46686277289</v>
      </c>
    </row>
    <row r="52" spans="1:13" ht="20.100000000000001" customHeight="1" x14ac:dyDescent="0.15">
      <c r="A52" s="49" t="s">
        <v>72</v>
      </c>
      <c r="B52" s="50" t="s">
        <v>65</v>
      </c>
      <c r="C52" s="50">
        <v>48</v>
      </c>
      <c r="D52" s="51">
        <v>73.749719101123603</v>
      </c>
      <c r="E52" s="51">
        <v>68.941935483871006</v>
      </c>
      <c r="F52" s="64">
        <f t="shared" si="10"/>
        <v>0.93480946536677301</v>
      </c>
      <c r="G52" s="65">
        <v>6</v>
      </c>
      <c r="H52" s="53" t="s">
        <v>73</v>
      </c>
      <c r="I52" s="48">
        <v>6</v>
      </c>
      <c r="J52" s="48">
        <v>5</v>
      </c>
      <c r="K52" s="48">
        <f t="shared" si="11"/>
        <v>685.71428571428601</v>
      </c>
      <c r="L52" s="72">
        <f t="shared" si="12"/>
        <v>954.05351272563996</v>
      </c>
      <c r="M52" s="72">
        <f t="shared" si="13"/>
        <v>1639.7677984399299</v>
      </c>
    </row>
    <row r="53" spans="1:13" ht="20.100000000000001" customHeight="1" x14ac:dyDescent="0.15">
      <c r="A53" s="49" t="s">
        <v>74</v>
      </c>
      <c r="B53" s="50" t="s">
        <v>65</v>
      </c>
      <c r="C53" s="50">
        <v>43</v>
      </c>
      <c r="D53" s="51">
        <v>73.749719101123603</v>
      </c>
      <c r="E53" s="51">
        <v>68.0138888888889</v>
      </c>
      <c r="F53" s="64">
        <f t="shared" si="10"/>
        <v>0.92222573479405501</v>
      </c>
      <c r="G53" s="65">
        <v>7</v>
      </c>
      <c r="H53" s="53" t="s">
        <v>66</v>
      </c>
      <c r="I53" s="48">
        <v>6</v>
      </c>
      <c r="J53" s="48">
        <v>5</v>
      </c>
      <c r="K53" s="48">
        <f t="shared" si="11"/>
        <v>685.71428571428601</v>
      </c>
      <c r="L53" s="72">
        <f t="shared" si="12"/>
        <v>941.210732671649</v>
      </c>
      <c r="M53" s="72">
        <f t="shared" si="13"/>
        <v>1626.9250183859299</v>
      </c>
    </row>
    <row r="54" spans="1:13" ht="20.100000000000001" customHeight="1" x14ac:dyDescent="0.15">
      <c r="A54" s="62"/>
      <c r="B54" s="48"/>
      <c r="C54" s="48"/>
      <c r="D54" s="63"/>
      <c r="E54" s="54"/>
      <c r="F54" s="58"/>
      <c r="G54" s="42"/>
      <c r="H54" s="42"/>
      <c r="I54" s="44"/>
      <c r="J54" s="48" t="s">
        <v>20</v>
      </c>
      <c r="K54" s="75">
        <f>SUM(K47:K53)</f>
        <v>4800</v>
      </c>
      <c r="L54" s="75">
        <f>SUM(L47:L53)</f>
        <v>7200</v>
      </c>
      <c r="M54" s="75">
        <f t="shared" si="13"/>
        <v>12000</v>
      </c>
    </row>
    <row r="55" spans="1:13" ht="20.100000000000001" customHeight="1" x14ac:dyDescent="0.15">
      <c r="A55" s="42"/>
      <c r="B55" s="42" t="s">
        <v>2</v>
      </c>
      <c r="C55" s="42" t="s">
        <v>3</v>
      </c>
      <c r="D55" s="42" t="s">
        <v>4</v>
      </c>
      <c r="E55" s="67"/>
      <c r="F55" s="55"/>
      <c r="G55" s="56"/>
      <c r="H55" s="42"/>
      <c r="I55" s="44"/>
      <c r="J55" s="44"/>
      <c r="K55" s="42"/>
      <c r="L55" s="42"/>
      <c r="M55" s="42"/>
    </row>
    <row r="56" spans="1:13" ht="20.100000000000001" customHeight="1" x14ac:dyDescent="0.15">
      <c r="A56" s="59" t="s">
        <v>75</v>
      </c>
      <c r="B56" s="48" t="s">
        <v>11</v>
      </c>
      <c r="C56" s="48">
        <v>30000</v>
      </c>
      <c r="D56" s="60">
        <v>24000</v>
      </c>
      <c r="E56" s="54"/>
      <c r="F56" s="55"/>
      <c r="G56" s="56"/>
      <c r="H56" s="42"/>
      <c r="I56" s="78" t="s">
        <v>22</v>
      </c>
      <c r="J56" s="79"/>
      <c r="K56" s="48"/>
      <c r="L56" s="48"/>
      <c r="M56" s="48"/>
    </row>
    <row r="57" spans="1:13" ht="20.100000000000001" customHeight="1" x14ac:dyDescent="0.15">
      <c r="A57" s="48" t="s">
        <v>23</v>
      </c>
      <c r="B57" s="48" t="s">
        <v>1</v>
      </c>
      <c r="C57" s="48" t="s">
        <v>24</v>
      </c>
      <c r="D57" s="48" t="s">
        <v>25</v>
      </c>
      <c r="E57" s="48" t="s">
        <v>26</v>
      </c>
      <c r="F57" s="48" t="s">
        <v>27</v>
      </c>
      <c r="G57" s="48" t="s">
        <v>28</v>
      </c>
      <c r="H57" s="48" t="s">
        <v>29</v>
      </c>
      <c r="I57" s="71" t="s">
        <v>30</v>
      </c>
      <c r="J57" s="71" t="s">
        <v>31</v>
      </c>
      <c r="K57" s="48" t="s">
        <v>32</v>
      </c>
      <c r="L57" s="48" t="s">
        <v>33</v>
      </c>
      <c r="M57" s="48" t="s">
        <v>20</v>
      </c>
    </row>
    <row r="58" spans="1:13" ht="20.100000000000001" customHeight="1" x14ac:dyDescent="0.15">
      <c r="A58" s="49" t="s">
        <v>76</v>
      </c>
      <c r="B58" s="50" t="s">
        <v>35</v>
      </c>
      <c r="C58" s="50">
        <v>43</v>
      </c>
      <c r="D58" s="51">
        <v>55.6490683229814</v>
      </c>
      <c r="E58" s="51">
        <v>83.069767441860506</v>
      </c>
      <c r="F58" s="52">
        <f t="shared" ref="F58:F65" si="14">E58/D58</f>
        <v>1.4927431841218299</v>
      </c>
      <c r="G58" s="48">
        <v>1</v>
      </c>
      <c r="H58" s="68" t="s">
        <v>77</v>
      </c>
      <c r="I58" s="48">
        <v>7</v>
      </c>
      <c r="J58" s="48">
        <v>8</v>
      </c>
      <c r="K58" s="48">
        <f t="shared" ref="K58:K65" si="15">$D$56*0.4*SUM(I58:J58)/SUM($I$58:$J$65)</f>
        <v>1200</v>
      </c>
      <c r="L58" s="72">
        <f t="shared" ref="L58:L65" si="16">$D$56*0.6*0.7*E58/SUM($E$58:$E$65)+$D$56*0.6*0.3*F58/SUM($F$58:$F$65)</f>
        <v>2367.6121572297602</v>
      </c>
      <c r="M58" s="72">
        <f t="shared" ref="M58:M66" si="17">SUM(K58:L58)</f>
        <v>3567.6121572297602</v>
      </c>
    </row>
    <row r="59" spans="1:13" ht="20.100000000000001" customHeight="1" x14ac:dyDescent="0.15">
      <c r="A59" s="49" t="s">
        <v>78</v>
      </c>
      <c r="B59" s="50" t="s">
        <v>35</v>
      </c>
      <c r="C59" s="50">
        <v>48</v>
      </c>
      <c r="D59" s="51">
        <v>55.6490683229814</v>
      </c>
      <c r="E59" s="51">
        <v>75.021739130434796</v>
      </c>
      <c r="F59" s="52">
        <f t="shared" si="14"/>
        <v>1.34812210502818</v>
      </c>
      <c r="G59" s="48">
        <v>2</v>
      </c>
      <c r="H59" s="53" t="s">
        <v>79</v>
      </c>
      <c r="I59" s="48">
        <v>7</v>
      </c>
      <c r="J59" s="48">
        <v>8</v>
      </c>
      <c r="K59" s="48">
        <f t="shared" si="15"/>
        <v>1200</v>
      </c>
      <c r="L59" s="72">
        <f t="shared" si="16"/>
        <v>2138.2313577084801</v>
      </c>
      <c r="M59" s="72">
        <f t="shared" si="17"/>
        <v>3338.2313577084801</v>
      </c>
    </row>
    <row r="60" spans="1:13" ht="20.100000000000001" customHeight="1" x14ac:dyDescent="0.15">
      <c r="A60" s="49" t="s">
        <v>80</v>
      </c>
      <c r="B60" s="50" t="s">
        <v>35</v>
      </c>
      <c r="C60" s="50">
        <v>48</v>
      </c>
      <c r="D60" s="51">
        <v>55.6490683229814</v>
      </c>
      <c r="E60" s="51">
        <v>67.180000000000007</v>
      </c>
      <c r="F60" s="52">
        <f t="shared" si="14"/>
        <v>1.2072079915173799</v>
      </c>
      <c r="G60" s="48">
        <v>3</v>
      </c>
      <c r="H60" s="53" t="s">
        <v>79</v>
      </c>
      <c r="I60" s="48">
        <v>7</v>
      </c>
      <c r="J60" s="48">
        <v>8</v>
      </c>
      <c r="K60" s="48">
        <f t="shared" si="15"/>
        <v>1200</v>
      </c>
      <c r="L60" s="72">
        <f t="shared" si="16"/>
        <v>1914.73010724409</v>
      </c>
      <c r="M60" s="72">
        <f t="shared" si="17"/>
        <v>3114.7301072441001</v>
      </c>
    </row>
    <row r="61" spans="1:13" ht="20.100000000000001" customHeight="1" x14ac:dyDescent="0.15">
      <c r="A61" s="49" t="s">
        <v>81</v>
      </c>
      <c r="B61" s="50" t="s">
        <v>35</v>
      </c>
      <c r="C61" s="50">
        <v>50</v>
      </c>
      <c r="D61" s="51">
        <v>55.6490683229814</v>
      </c>
      <c r="E61" s="51">
        <v>64.612244897959201</v>
      </c>
      <c r="F61" s="52">
        <f t="shared" si="14"/>
        <v>1.1610660671434101</v>
      </c>
      <c r="G61" s="48">
        <v>4</v>
      </c>
      <c r="H61" s="53" t="s">
        <v>39</v>
      </c>
      <c r="I61" s="48">
        <v>7</v>
      </c>
      <c r="J61" s="48">
        <v>8</v>
      </c>
      <c r="K61" s="48">
        <f t="shared" si="15"/>
        <v>1200</v>
      </c>
      <c r="L61" s="72">
        <f t="shared" si="16"/>
        <v>1841.54526053515</v>
      </c>
      <c r="M61" s="72">
        <f t="shared" si="17"/>
        <v>3041.5452605351502</v>
      </c>
    </row>
    <row r="62" spans="1:13" ht="20.100000000000001" customHeight="1" x14ac:dyDescent="0.15">
      <c r="A62" s="49" t="s">
        <v>82</v>
      </c>
      <c r="B62" s="50" t="s">
        <v>35</v>
      </c>
      <c r="C62" s="50">
        <v>48</v>
      </c>
      <c r="D62" s="51">
        <v>55.6490683229814</v>
      </c>
      <c r="E62" s="51">
        <v>61.652173913043498</v>
      </c>
      <c r="F62" s="52">
        <f t="shared" si="14"/>
        <v>1.1078743233439401</v>
      </c>
      <c r="G62" s="48">
        <v>5</v>
      </c>
      <c r="H62" s="69" t="s">
        <v>47</v>
      </c>
      <c r="I62" s="48">
        <v>7</v>
      </c>
      <c r="J62" s="48">
        <v>8</v>
      </c>
      <c r="K62" s="48">
        <f t="shared" si="15"/>
        <v>1200</v>
      </c>
      <c r="L62" s="72">
        <f t="shared" si="16"/>
        <v>1757.17882656078</v>
      </c>
      <c r="M62" s="72">
        <f t="shared" si="17"/>
        <v>2957.1788265607802</v>
      </c>
    </row>
    <row r="63" spans="1:13" ht="20.100000000000001" customHeight="1" x14ac:dyDescent="0.15">
      <c r="A63" s="49" t="s">
        <v>83</v>
      </c>
      <c r="B63" s="50" t="s">
        <v>35</v>
      </c>
      <c r="C63" s="50">
        <v>50</v>
      </c>
      <c r="D63" s="51">
        <v>55.6490683229814</v>
      </c>
      <c r="E63" s="51">
        <v>56.866666666666703</v>
      </c>
      <c r="F63" s="52">
        <f t="shared" si="14"/>
        <v>1.0218799412169599</v>
      </c>
      <c r="G63" s="48">
        <v>6</v>
      </c>
      <c r="H63" s="53" t="s">
        <v>77</v>
      </c>
      <c r="I63" s="48">
        <v>7</v>
      </c>
      <c r="J63" s="48">
        <v>8</v>
      </c>
      <c r="K63" s="48">
        <f t="shared" si="15"/>
        <v>1200</v>
      </c>
      <c r="L63" s="72">
        <f t="shared" si="16"/>
        <v>1620.7847389890001</v>
      </c>
      <c r="M63" s="72">
        <f t="shared" si="17"/>
        <v>2820.7847389889998</v>
      </c>
    </row>
    <row r="64" spans="1:13" ht="20.100000000000001" customHeight="1" x14ac:dyDescent="0.15">
      <c r="A64" s="49" t="s">
        <v>84</v>
      </c>
      <c r="B64" s="50" t="s">
        <v>35</v>
      </c>
      <c r="C64" s="50">
        <v>41</v>
      </c>
      <c r="D64" s="51">
        <v>55.6490683229814</v>
      </c>
      <c r="E64" s="51">
        <v>54.860465116279101</v>
      </c>
      <c r="F64" s="52">
        <f t="shared" si="14"/>
        <v>0.98582899533689705</v>
      </c>
      <c r="G64" s="48">
        <v>7</v>
      </c>
      <c r="H64" s="53" t="s">
        <v>45</v>
      </c>
      <c r="I64" s="48">
        <v>7</v>
      </c>
      <c r="J64" s="48">
        <v>8</v>
      </c>
      <c r="K64" s="48">
        <f t="shared" si="15"/>
        <v>1200</v>
      </c>
      <c r="L64" s="72">
        <f t="shared" si="16"/>
        <v>1563.60500529256</v>
      </c>
      <c r="M64" s="72">
        <f t="shared" si="17"/>
        <v>2763.6050052925598</v>
      </c>
    </row>
    <row r="65" spans="1:13" ht="20.100000000000001" customHeight="1" x14ac:dyDescent="0.15">
      <c r="A65" s="49" t="s">
        <v>85</v>
      </c>
      <c r="B65" s="50" t="s">
        <v>35</v>
      </c>
      <c r="C65" s="50">
        <v>48</v>
      </c>
      <c r="D65" s="51">
        <v>55.6490683229814</v>
      </c>
      <c r="E65" s="51">
        <v>41.973684210526301</v>
      </c>
      <c r="F65" s="52">
        <f t="shared" si="14"/>
        <v>0.754256728377111</v>
      </c>
      <c r="G65" s="48">
        <v>8</v>
      </c>
      <c r="H65" s="53" t="s">
        <v>43</v>
      </c>
      <c r="I65" s="48">
        <v>7</v>
      </c>
      <c r="J65" s="48">
        <v>8</v>
      </c>
      <c r="K65" s="48">
        <f t="shared" si="15"/>
        <v>1200</v>
      </c>
      <c r="L65" s="72">
        <f t="shared" si="16"/>
        <v>1196.3125464401701</v>
      </c>
      <c r="M65" s="72">
        <f t="shared" si="17"/>
        <v>2396.3125464401701</v>
      </c>
    </row>
    <row r="66" spans="1:13" ht="20.100000000000001" customHeight="1" x14ac:dyDescent="0.15">
      <c r="A66" s="42"/>
      <c r="B66" s="42"/>
      <c r="C66" s="42"/>
      <c r="D66" s="76"/>
      <c r="E66" s="76"/>
      <c r="F66" s="55"/>
      <c r="G66" s="56"/>
      <c r="H66" s="42"/>
      <c r="I66" s="42"/>
      <c r="J66" s="48" t="s">
        <v>20</v>
      </c>
      <c r="K66" s="75">
        <f>SUM(K58:K65)</f>
        <v>9600</v>
      </c>
      <c r="L66" s="74">
        <f>SUM(L58:L65)</f>
        <v>14400</v>
      </c>
      <c r="M66" s="75">
        <f t="shared" si="17"/>
        <v>24000</v>
      </c>
    </row>
    <row r="67" spans="1:13" ht="20.100000000000001" customHeight="1" x14ac:dyDescent="0.15">
      <c r="A67" s="42"/>
      <c r="B67" s="42" t="s">
        <v>2</v>
      </c>
      <c r="C67" s="42" t="s">
        <v>3</v>
      </c>
      <c r="D67" s="43" t="s">
        <v>4</v>
      </c>
      <c r="E67" s="76"/>
      <c r="F67" s="55"/>
      <c r="G67" s="56"/>
      <c r="H67" s="42"/>
      <c r="I67" s="44"/>
      <c r="J67" s="44"/>
      <c r="K67" s="42"/>
      <c r="L67" s="42"/>
      <c r="M67" s="42"/>
    </row>
    <row r="68" spans="1:13" ht="20.100000000000001" customHeight="1" x14ac:dyDescent="0.15">
      <c r="A68" s="59" t="s">
        <v>86</v>
      </c>
      <c r="B68" s="48" t="s">
        <v>6</v>
      </c>
      <c r="C68" s="48">
        <v>21000</v>
      </c>
      <c r="D68" s="60">
        <v>16800</v>
      </c>
      <c r="E68" s="76"/>
      <c r="F68" s="55"/>
      <c r="G68" s="56"/>
      <c r="H68" s="42"/>
      <c r="I68" s="70" t="s">
        <v>22</v>
      </c>
      <c r="J68" s="62"/>
      <c r="K68" s="48"/>
      <c r="L68" s="48"/>
      <c r="M68" s="48"/>
    </row>
    <row r="69" spans="1:13" ht="20.100000000000001" customHeight="1" x14ac:dyDescent="0.15">
      <c r="A69" s="48" t="s">
        <v>23</v>
      </c>
      <c r="B69" s="48" t="s">
        <v>1</v>
      </c>
      <c r="C69" s="48" t="s">
        <v>24</v>
      </c>
      <c r="D69" s="48" t="s">
        <v>25</v>
      </c>
      <c r="E69" s="48" t="s">
        <v>26</v>
      </c>
      <c r="F69" s="48" t="s">
        <v>27</v>
      </c>
      <c r="G69" s="48" t="s">
        <v>28</v>
      </c>
      <c r="H69" s="48" t="s">
        <v>29</v>
      </c>
      <c r="I69" s="71" t="s">
        <v>30</v>
      </c>
      <c r="J69" s="71" t="s">
        <v>31</v>
      </c>
      <c r="K69" s="48" t="s">
        <v>32</v>
      </c>
      <c r="L69" s="48" t="s">
        <v>33</v>
      </c>
      <c r="M69" s="48" t="s">
        <v>20</v>
      </c>
    </row>
    <row r="70" spans="1:13" ht="20.100000000000001" customHeight="1" x14ac:dyDescent="0.15">
      <c r="A70" s="49" t="s">
        <v>76</v>
      </c>
      <c r="B70" s="50" t="s">
        <v>87</v>
      </c>
      <c r="C70" s="50">
        <v>43</v>
      </c>
      <c r="D70" s="66">
        <v>75.258688524590198</v>
      </c>
      <c r="E70" s="51">
        <v>84.283720930232604</v>
      </c>
      <c r="F70" s="61">
        <f t="shared" ref="F70:F76" si="18">E70/D70</f>
        <v>1.1199201392234399</v>
      </c>
      <c r="G70" s="48">
        <v>1</v>
      </c>
      <c r="H70" s="68" t="s">
        <v>88</v>
      </c>
      <c r="I70" s="48">
        <v>5</v>
      </c>
      <c r="J70" s="48">
        <v>6</v>
      </c>
      <c r="K70" s="48">
        <f t="shared" ref="K70:K76" si="19">$D$68*0.4*SUM(I70:J70)/SUM($I$70:$J$76)</f>
        <v>960</v>
      </c>
      <c r="L70" s="72">
        <f t="shared" ref="L70:L76" si="20">$D$68*0.6*0.7*E70/SUM($E$70:$E$76)+$D$68*0.6*0.3*F70/SUM($F$70:$F$76)</f>
        <v>1620.2273675817901</v>
      </c>
      <c r="M70" s="72">
        <f t="shared" ref="M70:M77" si="21">SUM(K70:L70)</f>
        <v>2580.2273675817901</v>
      </c>
    </row>
    <row r="71" spans="1:13" ht="20.100000000000001" customHeight="1" x14ac:dyDescent="0.15">
      <c r="A71" s="49" t="s">
        <v>78</v>
      </c>
      <c r="B71" s="50" t="s">
        <v>87</v>
      </c>
      <c r="C71" s="50">
        <v>48</v>
      </c>
      <c r="D71" s="66">
        <v>75.258688524590198</v>
      </c>
      <c r="E71" s="51">
        <v>80.734782608695696</v>
      </c>
      <c r="F71" s="61">
        <f t="shared" si="18"/>
        <v>1.0727636129656499</v>
      </c>
      <c r="G71" s="48">
        <v>2</v>
      </c>
      <c r="H71" s="53" t="s">
        <v>89</v>
      </c>
      <c r="I71" s="48">
        <v>5</v>
      </c>
      <c r="J71" s="48">
        <v>6</v>
      </c>
      <c r="K71" s="48">
        <f t="shared" si="19"/>
        <v>960</v>
      </c>
      <c r="L71" s="72">
        <f t="shared" si="20"/>
        <v>1552.00438298938</v>
      </c>
      <c r="M71" s="72">
        <f t="shared" si="21"/>
        <v>2512.0043829893798</v>
      </c>
    </row>
    <row r="72" spans="1:13" ht="20.100000000000001" customHeight="1" x14ac:dyDescent="0.15">
      <c r="A72" s="49" t="s">
        <v>82</v>
      </c>
      <c r="B72" s="50" t="s">
        <v>87</v>
      </c>
      <c r="C72" s="50">
        <v>48</v>
      </c>
      <c r="D72" s="66">
        <v>75.258688524590198</v>
      </c>
      <c r="E72" s="51">
        <v>79.478260869565204</v>
      </c>
      <c r="F72" s="61">
        <f t="shared" si="18"/>
        <v>1.05606757741462</v>
      </c>
      <c r="G72" s="48">
        <v>3</v>
      </c>
      <c r="H72" s="53" t="s">
        <v>90</v>
      </c>
      <c r="I72" s="48">
        <v>5</v>
      </c>
      <c r="J72" s="48">
        <v>6</v>
      </c>
      <c r="K72" s="48">
        <f t="shared" si="19"/>
        <v>960</v>
      </c>
      <c r="L72" s="72">
        <f t="shared" si="20"/>
        <v>1527.84964839495</v>
      </c>
      <c r="M72" s="72">
        <f t="shared" si="21"/>
        <v>2487.8496483949498</v>
      </c>
    </row>
    <row r="73" spans="1:13" ht="20.100000000000001" customHeight="1" x14ac:dyDescent="0.15">
      <c r="A73" s="49" t="s">
        <v>80</v>
      </c>
      <c r="B73" s="50" t="s">
        <v>87</v>
      </c>
      <c r="C73" s="50">
        <v>50</v>
      </c>
      <c r="D73" s="66">
        <v>75.258688524590198</v>
      </c>
      <c r="E73" s="51">
        <v>74.656000000000006</v>
      </c>
      <c r="F73" s="61">
        <f t="shared" si="18"/>
        <v>0.99199177481822198</v>
      </c>
      <c r="G73" s="48">
        <v>4</v>
      </c>
      <c r="H73" s="53" t="s">
        <v>90</v>
      </c>
      <c r="I73" s="48">
        <v>5</v>
      </c>
      <c r="J73" s="48">
        <v>6</v>
      </c>
      <c r="K73" s="48">
        <f t="shared" si="19"/>
        <v>960</v>
      </c>
      <c r="L73" s="72">
        <f t="shared" si="20"/>
        <v>1435.1489590061201</v>
      </c>
      <c r="M73" s="72">
        <f t="shared" si="21"/>
        <v>2395.1489590061201</v>
      </c>
    </row>
    <row r="74" spans="1:13" ht="20.100000000000001" customHeight="1" x14ac:dyDescent="0.15">
      <c r="A74" s="49" t="s">
        <v>81</v>
      </c>
      <c r="B74" s="50" t="s">
        <v>87</v>
      </c>
      <c r="C74" s="50">
        <v>50</v>
      </c>
      <c r="D74" s="66">
        <v>75.258688524590198</v>
      </c>
      <c r="E74" s="51">
        <v>70.583673469387705</v>
      </c>
      <c r="F74" s="61">
        <f t="shared" si="18"/>
        <v>0.93788072650674803</v>
      </c>
      <c r="G74" s="48">
        <v>5</v>
      </c>
      <c r="H74" s="53" t="s">
        <v>91</v>
      </c>
      <c r="I74" s="48">
        <v>5</v>
      </c>
      <c r="J74" s="48">
        <v>6</v>
      </c>
      <c r="K74" s="48">
        <f t="shared" si="19"/>
        <v>960</v>
      </c>
      <c r="L74" s="72">
        <f t="shared" si="20"/>
        <v>1356.8646257825201</v>
      </c>
      <c r="M74" s="72">
        <f t="shared" si="21"/>
        <v>2316.8646257825199</v>
      </c>
    </row>
    <row r="75" spans="1:13" ht="20.100000000000001" customHeight="1" x14ac:dyDescent="0.15">
      <c r="A75" s="49" t="s">
        <v>84</v>
      </c>
      <c r="B75" s="50" t="s">
        <v>87</v>
      </c>
      <c r="C75" s="50">
        <v>48</v>
      </c>
      <c r="D75" s="66">
        <v>75.258688524590198</v>
      </c>
      <c r="E75" s="51">
        <v>69.427272727272694</v>
      </c>
      <c r="F75" s="61">
        <f t="shared" si="18"/>
        <v>0.92251504893800895</v>
      </c>
      <c r="G75" s="48">
        <v>6</v>
      </c>
      <c r="H75" s="53" t="s">
        <v>88</v>
      </c>
      <c r="I75" s="48">
        <v>5</v>
      </c>
      <c r="J75" s="48">
        <v>6</v>
      </c>
      <c r="K75" s="48">
        <f t="shared" si="19"/>
        <v>960</v>
      </c>
      <c r="L75" s="72">
        <f t="shared" si="20"/>
        <v>1334.6345662931201</v>
      </c>
      <c r="M75" s="72">
        <f t="shared" si="21"/>
        <v>2294.6345662931199</v>
      </c>
    </row>
    <row r="76" spans="1:13" ht="20.100000000000001" customHeight="1" x14ac:dyDescent="0.15">
      <c r="A76" s="49" t="s">
        <v>85</v>
      </c>
      <c r="B76" s="50" t="s">
        <v>87</v>
      </c>
      <c r="C76" s="50">
        <v>40</v>
      </c>
      <c r="D76" s="66">
        <v>75.258688524590198</v>
      </c>
      <c r="E76" s="66">
        <v>65.1947368421053</v>
      </c>
      <c r="F76" s="61">
        <f t="shared" si="18"/>
        <v>0.86627521845272903</v>
      </c>
      <c r="G76" s="48">
        <v>7</v>
      </c>
      <c r="H76" s="53" t="s">
        <v>91</v>
      </c>
      <c r="I76" s="48">
        <v>5</v>
      </c>
      <c r="J76" s="48">
        <v>6</v>
      </c>
      <c r="K76" s="48">
        <f t="shared" si="19"/>
        <v>960</v>
      </c>
      <c r="L76" s="72">
        <f t="shared" si="20"/>
        <v>1253.2704499521201</v>
      </c>
      <c r="M76" s="72">
        <f t="shared" si="21"/>
        <v>2213.2704499521201</v>
      </c>
    </row>
    <row r="77" spans="1:13" ht="20.100000000000001" customHeight="1" x14ac:dyDescent="0.15">
      <c r="A77" s="42"/>
      <c r="B77" s="42"/>
      <c r="C77" s="42"/>
      <c r="D77" s="54"/>
      <c r="E77" s="76"/>
      <c r="F77" s="58"/>
      <c r="G77" s="56"/>
      <c r="H77" s="42"/>
      <c r="I77" s="44"/>
      <c r="J77" s="48" t="s">
        <v>20</v>
      </c>
      <c r="K77" s="75">
        <f>SUM(K70:K76)</f>
        <v>6720</v>
      </c>
      <c r="L77" s="75">
        <f>SUM(L70:L76)</f>
        <v>10080</v>
      </c>
      <c r="M77" s="75">
        <f t="shared" si="21"/>
        <v>16800</v>
      </c>
    </row>
    <row r="78" spans="1:13" ht="20.100000000000001" customHeight="1" x14ac:dyDescent="0.15">
      <c r="A78" s="42"/>
      <c r="B78" s="42" t="s">
        <v>2</v>
      </c>
      <c r="C78" s="42" t="s">
        <v>3</v>
      </c>
      <c r="D78" s="43" t="s">
        <v>4</v>
      </c>
      <c r="E78" s="76"/>
      <c r="F78" s="58"/>
      <c r="G78" s="56"/>
      <c r="H78" s="42"/>
      <c r="I78" s="44"/>
      <c r="J78" s="44"/>
      <c r="K78" s="42"/>
      <c r="L78" s="42"/>
      <c r="M78" s="42"/>
    </row>
    <row r="79" spans="1:13" ht="20.100000000000001" customHeight="1" x14ac:dyDescent="0.15">
      <c r="A79" s="59" t="s">
        <v>92</v>
      </c>
      <c r="B79" s="48" t="s">
        <v>11</v>
      </c>
      <c r="C79" s="48">
        <v>9000</v>
      </c>
      <c r="D79" s="60">
        <v>7200</v>
      </c>
      <c r="E79" s="42" t="s">
        <v>55</v>
      </c>
      <c r="F79" s="42"/>
      <c r="G79" s="44"/>
      <c r="H79" s="44"/>
      <c r="I79" s="70" t="s">
        <v>22</v>
      </c>
      <c r="J79" s="62"/>
      <c r="K79" s="48"/>
      <c r="L79" s="48"/>
      <c r="M79" s="48"/>
    </row>
    <row r="80" spans="1:13" ht="20.100000000000001" customHeight="1" x14ac:dyDescent="0.15">
      <c r="A80" s="48" t="s">
        <v>23</v>
      </c>
      <c r="B80" s="48" t="s">
        <v>1</v>
      </c>
      <c r="C80" s="48" t="s">
        <v>24</v>
      </c>
      <c r="D80" s="48" t="s">
        <v>25</v>
      </c>
      <c r="E80" s="48" t="s">
        <v>26</v>
      </c>
      <c r="F80" s="48" t="s">
        <v>27</v>
      </c>
      <c r="G80" s="48" t="s">
        <v>28</v>
      </c>
      <c r="H80" s="48" t="s">
        <v>29</v>
      </c>
      <c r="I80" s="71" t="s">
        <v>30</v>
      </c>
      <c r="J80" s="71" t="s">
        <v>31</v>
      </c>
      <c r="K80" s="48" t="s">
        <v>32</v>
      </c>
      <c r="L80" s="48" t="s">
        <v>33</v>
      </c>
      <c r="M80" s="48" t="s">
        <v>20</v>
      </c>
    </row>
    <row r="81" spans="1:13" ht="20.100000000000001" customHeight="1" x14ac:dyDescent="0.15">
      <c r="A81" s="49" t="s">
        <v>76</v>
      </c>
      <c r="B81" s="50" t="s">
        <v>50</v>
      </c>
      <c r="C81" s="50">
        <v>43</v>
      </c>
      <c r="D81" s="51">
        <v>74.484364820846906</v>
      </c>
      <c r="E81" s="51">
        <v>85.009302325581402</v>
      </c>
      <c r="F81" s="61">
        <f t="shared" ref="F81:F85" si="22">E81/D81</f>
        <v>1.1413039841321</v>
      </c>
      <c r="G81" s="48">
        <v>1</v>
      </c>
      <c r="H81" s="68" t="s">
        <v>93</v>
      </c>
      <c r="I81" s="48">
        <v>5</v>
      </c>
      <c r="J81" s="48">
        <v>6</v>
      </c>
      <c r="K81" s="48">
        <f t="shared" ref="K81:K85" si="23">$D$79*0.4*SUM(I81:J81)/SUM($I$81:$J$85)</f>
        <v>576</v>
      </c>
      <c r="L81" s="72">
        <f t="shared" ref="L81:L85" si="24">$D$79*0.6*0.7*E81/SUM($E$81:$E$85)+$D$79*0.6*0.3*F81/SUM($F$81:$F$85)</f>
        <v>953.032981081446</v>
      </c>
      <c r="M81" s="72">
        <f t="shared" ref="M81:M86" si="25">SUM(K81:L81)</f>
        <v>1529.0329810814501</v>
      </c>
    </row>
    <row r="82" spans="1:13" ht="20.100000000000001" customHeight="1" x14ac:dyDescent="0.15">
      <c r="A82" s="49" t="s">
        <v>82</v>
      </c>
      <c r="B82" s="50" t="s">
        <v>50</v>
      </c>
      <c r="C82" s="50">
        <v>48</v>
      </c>
      <c r="D82" s="51">
        <v>74.484364820846906</v>
      </c>
      <c r="E82" s="51">
        <v>79.876086956521704</v>
      </c>
      <c r="F82" s="61">
        <f t="shared" si="22"/>
        <v>1.0723873009945499</v>
      </c>
      <c r="G82" s="48">
        <v>2</v>
      </c>
      <c r="H82" s="53" t="s">
        <v>93</v>
      </c>
      <c r="I82" s="48">
        <v>5</v>
      </c>
      <c r="J82" s="48">
        <v>6</v>
      </c>
      <c r="K82" s="48">
        <f t="shared" si="23"/>
        <v>576</v>
      </c>
      <c r="L82" s="72">
        <f t="shared" si="24"/>
        <v>895.48488443937003</v>
      </c>
      <c r="M82" s="72">
        <f t="shared" si="25"/>
        <v>1471.48488443937</v>
      </c>
    </row>
    <row r="83" spans="1:13" ht="20.100000000000001" customHeight="1" x14ac:dyDescent="0.15">
      <c r="A83" s="49" t="s">
        <v>78</v>
      </c>
      <c r="B83" s="50" t="s">
        <v>50</v>
      </c>
      <c r="C83" s="50">
        <v>48</v>
      </c>
      <c r="D83" s="51">
        <v>74.484364820846906</v>
      </c>
      <c r="E83" s="51">
        <v>79.513043478260897</v>
      </c>
      <c r="F83" s="61">
        <f t="shared" si="22"/>
        <v>1.06751321125594</v>
      </c>
      <c r="G83" s="48">
        <v>3</v>
      </c>
      <c r="H83" s="53" t="s">
        <v>51</v>
      </c>
      <c r="I83" s="48">
        <v>5</v>
      </c>
      <c r="J83" s="48">
        <v>6</v>
      </c>
      <c r="K83" s="48">
        <f t="shared" si="23"/>
        <v>576</v>
      </c>
      <c r="L83" s="72">
        <f t="shared" si="24"/>
        <v>891.41483094070804</v>
      </c>
      <c r="M83" s="72">
        <f t="shared" si="25"/>
        <v>1467.4148309407101</v>
      </c>
    </row>
    <row r="84" spans="1:13" ht="20.100000000000001" customHeight="1" x14ac:dyDescent="0.15">
      <c r="A84" s="49" t="s">
        <v>94</v>
      </c>
      <c r="B84" s="50" t="s">
        <v>50</v>
      </c>
      <c r="C84" s="50">
        <v>48</v>
      </c>
      <c r="D84" s="51">
        <v>74.484364820846906</v>
      </c>
      <c r="E84" s="51">
        <v>70.991111111111096</v>
      </c>
      <c r="F84" s="61">
        <f t="shared" si="22"/>
        <v>0.95310084581995203</v>
      </c>
      <c r="G84" s="48">
        <v>4</v>
      </c>
      <c r="H84" s="53" t="s">
        <v>53</v>
      </c>
      <c r="I84" s="48">
        <v>5</v>
      </c>
      <c r="J84" s="48">
        <v>6</v>
      </c>
      <c r="K84" s="48">
        <f t="shared" si="23"/>
        <v>576</v>
      </c>
      <c r="L84" s="72">
        <f t="shared" si="24"/>
        <v>795.87607945991499</v>
      </c>
      <c r="M84" s="72">
        <f t="shared" si="25"/>
        <v>1371.87607945992</v>
      </c>
    </row>
    <row r="85" spans="1:13" ht="20.100000000000001" customHeight="1" x14ac:dyDescent="0.15">
      <c r="A85" s="49" t="s">
        <v>95</v>
      </c>
      <c r="B85" s="50" t="s">
        <v>50</v>
      </c>
      <c r="C85" s="50">
        <v>48</v>
      </c>
      <c r="D85" s="51">
        <v>74.484364820846906</v>
      </c>
      <c r="E85" s="51">
        <v>69.948837209302297</v>
      </c>
      <c r="F85" s="61">
        <f t="shared" si="22"/>
        <v>0.93910765537903595</v>
      </c>
      <c r="G85" s="48">
        <v>5</v>
      </c>
      <c r="H85" s="53" t="s">
        <v>51</v>
      </c>
      <c r="I85" s="48">
        <v>5</v>
      </c>
      <c r="J85" s="48">
        <v>6</v>
      </c>
      <c r="K85" s="48">
        <f t="shared" si="23"/>
        <v>576</v>
      </c>
      <c r="L85" s="72">
        <f t="shared" si="24"/>
        <v>784.19122407856105</v>
      </c>
      <c r="M85" s="72">
        <f t="shared" si="25"/>
        <v>1360.19122407856</v>
      </c>
    </row>
    <row r="86" spans="1:13" ht="20.100000000000001" customHeight="1" x14ac:dyDescent="0.15">
      <c r="A86" s="42"/>
      <c r="B86" s="42"/>
      <c r="C86" s="42"/>
      <c r="D86" s="76"/>
      <c r="E86" s="54"/>
      <c r="F86" s="58"/>
      <c r="G86" s="56"/>
      <c r="H86" s="42"/>
      <c r="I86" s="44"/>
      <c r="J86" s="48" t="s">
        <v>20</v>
      </c>
      <c r="K86" s="75">
        <f>SUM(K81:K85)</f>
        <v>2880</v>
      </c>
      <c r="L86" s="75">
        <f>SUM(L81:L85)</f>
        <v>4320</v>
      </c>
      <c r="M86" s="75">
        <f t="shared" si="25"/>
        <v>7200</v>
      </c>
    </row>
    <row r="87" spans="1:13" ht="20.100000000000001" customHeight="1" x14ac:dyDescent="0.15">
      <c r="A87" s="42"/>
      <c r="B87" s="42" t="s">
        <v>2</v>
      </c>
      <c r="C87" s="42" t="s">
        <v>3</v>
      </c>
      <c r="D87" s="43" t="s">
        <v>4</v>
      </c>
      <c r="E87" s="54"/>
      <c r="F87" s="58"/>
      <c r="G87" s="56"/>
      <c r="H87" s="42"/>
      <c r="I87" s="44"/>
      <c r="J87" s="44"/>
      <c r="K87" s="42"/>
      <c r="L87" s="42"/>
      <c r="M87" s="42"/>
    </row>
    <row r="88" spans="1:13" ht="20.100000000000001" customHeight="1" x14ac:dyDescent="0.15">
      <c r="A88" s="59" t="s">
        <v>96</v>
      </c>
      <c r="B88" s="48" t="s">
        <v>6</v>
      </c>
      <c r="C88" s="48">
        <v>42000</v>
      </c>
      <c r="D88" s="60">
        <v>33600</v>
      </c>
      <c r="E88" s="42"/>
      <c r="F88" s="42"/>
      <c r="G88" s="44"/>
      <c r="H88" s="42"/>
      <c r="I88" s="70" t="s">
        <v>22</v>
      </c>
      <c r="J88" s="62"/>
      <c r="K88" s="48"/>
      <c r="L88" s="48"/>
      <c r="M88" s="48"/>
    </row>
    <row r="89" spans="1:13" ht="20.100000000000001" customHeight="1" x14ac:dyDescent="0.15">
      <c r="A89" s="48" t="s">
        <v>23</v>
      </c>
      <c r="B89" s="48" t="s">
        <v>1</v>
      </c>
      <c r="C89" s="48" t="s">
        <v>24</v>
      </c>
      <c r="D89" s="48" t="s">
        <v>25</v>
      </c>
      <c r="E89" s="48" t="s">
        <v>26</v>
      </c>
      <c r="F89" s="48" t="s">
        <v>27</v>
      </c>
      <c r="G89" s="48" t="s">
        <v>28</v>
      </c>
      <c r="H89" s="48" t="s">
        <v>29</v>
      </c>
      <c r="I89" s="71" t="s">
        <v>30</v>
      </c>
      <c r="J89" s="71" t="s">
        <v>31</v>
      </c>
      <c r="K89" s="48" t="s">
        <v>32</v>
      </c>
      <c r="L89" s="48" t="s">
        <v>33</v>
      </c>
      <c r="M89" s="48" t="s">
        <v>20</v>
      </c>
    </row>
    <row r="90" spans="1:13" ht="20.100000000000001" customHeight="1" x14ac:dyDescent="0.15">
      <c r="A90" s="49" t="s">
        <v>76</v>
      </c>
      <c r="B90" s="50" t="s">
        <v>56</v>
      </c>
      <c r="C90" s="50">
        <v>43</v>
      </c>
      <c r="D90" s="51">
        <v>86.434782608695699</v>
      </c>
      <c r="E90" s="51">
        <v>95.255813953488399</v>
      </c>
      <c r="F90" s="52">
        <f t="shared" ref="F90:F97" si="26">E90/D90</f>
        <v>1.1020541855785899</v>
      </c>
      <c r="G90" s="48">
        <v>1</v>
      </c>
      <c r="H90" s="68" t="s">
        <v>97</v>
      </c>
      <c r="I90" s="48">
        <v>7</v>
      </c>
      <c r="J90" s="48">
        <v>7</v>
      </c>
      <c r="K90" s="48">
        <f t="shared" ref="K90:K97" si="27">$D$88*0.4*SUM(I90:J90)/SUM($I$90:$J$97)</f>
        <v>1680</v>
      </c>
      <c r="L90" s="72">
        <f t="shared" ref="L90:L97" si="28">$D$88*0.6*0.7*E90/SUM($E$90:$E$97)+$D$88*0.6*0.3*F90/SUM($F$90:$F$97)</f>
        <v>2758.6604870681999</v>
      </c>
      <c r="M90" s="72">
        <f t="shared" ref="M90:M98" si="29">SUM(K90:L90)</f>
        <v>4438.6604870682004</v>
      </c>
    </row>
    <row r="91" spans="1:13" ht="20.100000000000001" customHeight="1" x14ac:dyDescent="0.15">
      <c r="A91" s="49" t="s">
        <v>82</v>
      </c>
      <c r="B91" s="50" t="s">
        <v>56</v>
      </c>
      <c r="C91" s="50">
        <v>41</v>
      </c>
      <c r="D91" s="51">
        <v>86.434782608695699</v>
      </c>
      <c r="E91" s="51">
        <v>88.043478260869605</v>
      </c>
      <c r="F91" s="52">
        <f t="shared" si="26"/>
        <v>1.01861167002012</v>
      </c>
      <c r="G91" s="48">
        <v>2</v>
      </c>
      <c r="H91" s="53" t="s">
        <v>98</v>
      </c>
      <c r="I91" s="48">
        <v>7</v>
      </c>
      <c r="J91" s="48">
        <v>7</v>
      </c>
      <c r="K91" s="48">
        <f t="shared" si="27"/>
        <v>1680</v>
      </c>
      <c r="L91" s="72">
        <f t="shared" si="28"/>
        <v>2549.7872995017801</v>
      </c>
      <c r="M91" s="72">
        <f t="shared" si="29"/>
        <v>4229.7872995017797</v>
      </c>
    </row>
    <row r="92" spans="1:13" ht="20.100000000000001" customHeight="1" x14ac:dyDescent="0.15">
      <c r="A92" s="49" t="s">
        <v>78</v>
      </c>
      <c r="B92" s="50" t="s">
        <v>56</v>
      </c>
      <c r="C92" s="50">
        <v>50</v>
      </c>
      <c r="D92" s="51">
        <v>86.434782608695699</v>
      </c>
      <c r="E92" s="51">
        <v>87.891304347826093</v>
      </c>
      <c r="F92" s="52">
        <f t="shared" si="26"/>
        <v>1.01685110663984</v>
      </c>
      <c r="G92" s="48">
        <v>3</v>
      </c>
      <c r="H92" s="53" t="s">
        <v>59</v>
      </c>
      <c r="I92" s="48">
        <v>7</v>
      </c>
      <c r="J92" s="48">
        <v>7</v>
      </c>
      <c r="K92" s="48">
        <f t="shared" si="27"/>
        <v>1680</v>
      </c>
      <c r="L92" s="72">
        <f t="shared" si="28"/>
        <v>2545.38025972486</v>
      </c>
      <c r="M92" s="72">
        <f t="shared" si="29"/>
        <v>4225.3802597248596</v>
      </c>
    </row>
    <row r="93" spans="1:13" ht="20.100000000000001" customHeight="1" x14ac:dyDescent="0.15">
      <c r="A93" s="49" t="s">
        <v>81</v>
      </c>
      <c r="B93" s="50" t="s">
        <v>56</v>
      </c>
      <c r="C93" s="50">
        <v>48</v>
      </c>
      <c r="D93" s="51">
        <v>86.434782608695699</v>
      </c>
      <c r="E93" s="51">
        <v>87.469387755102005</v>
      </c>
      <c r="F93" s="52">
        <f t="shared" si="26"/>
        <v>1.0119697778507799</v>
      </c>
      <c r="G93" s="48">
        <v>4</v>
      </c>
      <c r="H93" s="53" t="s">
        <v>98</v>
      </c>
      <c r="I93" s="48">
        <v>7</v>
      </c>
      <c r="J93" s="48">
        <v>7</v>
      </c>
      <c r="K93" s="48">
        <f t="shared" si="27"/>
        <v>1680</v>
      </c>
      <c r="L93" s="72">
        <f t="shared" si="28"/>
        <v>2533.1613243666998</v>
      </c>
      <c r="M93" s="72">
        <f t="shared" si="29"/>
        <v>4213.1613243666998</v>
      </c>
    </row>
    <row r="94" spans="1:13" ht="20.100000000000001" customHeight="1" x14ac:dyDescent="0.15">
      <c r="A94" s="49" t="s">
        <v>80</v>
      </c>
      <c r="B94" s="50" t="s">
        <v>56</v>
      </c>
      <c r="C94" s="50">
        <v>48</v>
      </c>
      <c r="D94" s="51">
        <v>86.434782608695699</v>
      </c>
      <c r="E94" s="51">
        <v>86.04</v>
      </c>
      <c r="F94" s="52">
        <f t="shared" si="26"/>
        <v>0.99543259557343999</v>
      </c>
      <c r="G94" s="48">
        <v>5</v>
      </c>
      <c r="H94" s="53" t="s">
        <v>60</v>
      </c>
      <c r="I94" s="48">
        <v>7</v>
      </c>
      <c r="J94" s="48">
        <v>7</v>
      </c>
      <c r="K94" s="48">
        <f t="shared" si="27"/>
        <v>1680</v>
      </c>
      <c r="L94" s="72">
        <f t="shared" si="28"/>
        <v>2491.76547295312</v>
      </c>
      <c r="M94" s="72">
        <f t="shared" si="29"/>
        <v>4171.7654729531196</v>
      </c>
    </row>
    <row r="95" spans="1:13" ht="20.100000000000001" customHeight="1" x14ac:dyDescent="0.15">
      <c r="A95" s="49" t="s">
        <v>83</v>
      </c>
      <c r="B95" s="50" t="s">
        <v>56</v>
      </c>
      <c r="C95" s="50">
        <v>50</v>
      </c>
      <c r="D95" s="51">
        <v>86.434782608695699</v>
      </c>
      <c r="E95" s="51">
        <v>84.6</v>
      </c>
      <c r="F95" s="52">
        <f t="shared" si="26"/>
        <v>0.97877263581488905</v>
      </c>
      <c r="G95" s="48">
        <v>6</v>
      </c>
      <c r="H95" s="53" t="s">
        <v>62</v>
      </c>
      <c r="I95" s="48">
        <v>7</v>
      </c>
      <c r="J95" s="48">
        <v>7</v>
      </c>
      <c r="K95" s="48">
        <f t="shared" si="27"/>
        <v>1680</v>
      </c>
      <c r="L95" s="72">
        <f t="shared" si="28"/>
        <v>2450.0622851212602</v>
      </c>
      <c r="M95" s="72">
        <f t="shared" si="29"/>
        <v>4130.0622851212602</v>
      </c>
    </row>
    <row r="96" spans="1:13" ht="20.100000000000001" customHeight="1" x14ac:dyDescent="0.15">
      <c r="A96" s="49" t="s">
        <v>85</v>
      </c>
      <c r="B96" s="50" t="s">
        <v>56</v>
      </c>
      <c r="C96" s="50">
        <v>40</v>
      </c>
      <c r="D96" s="51">
        <v>86.434782608695699</v>
      </c>
      <c r="E96" s="51">
        <v>83.447368421052602</v>
      </c>
      <c r="F96" s="52">
        <f t="shared" si="26"/>
        <v>0.96543736100815303</v>
      </c>
      <c r="G96" s="48">
        <v>7</v>
      </c>
      <c r="H96" s="53" t="s">
        <v>57</v>
      </c>
      <c r="I96" s="48">
        <v>7</v>
      </c>
      <c r="J96" s="48">
        <v>7</v>
      </c>
      <c r="K96" s="48">
        <f t="shared" si="27"/>
        <v>1680</v>
      </c>
      <c r="L96" s="72">
        <f t="shared" si="28"/>
        <v>2416.68144398393</v>
      </c>
      <c r="M96" s="72">
        <f t="shared" si="29"/>
        <v>4096.68144398393</v>
      </c>
    </row>
    <row r="97" spans="1:13" ht="20.100000000000001" customHeight="1" x14ac:dyDescent="0.15">
      <c r="A97" s="49" t="s">
        <v>84</v>
      </c>
      <c r="B97" s="50" t="s">
        <v>56</v>
      </c>
      <c r="C97" s="50">
        <v>41</v>
      </c>
      <c r="D97" s="51">
        <v>86.434782608695699</v>
      </c>
      <c r="E97" s="51">
        <v>83.3720930232558</v>
      </c>
      <c r="F97" s="52">
        <f t="shared" si="26"/>
        <v>0.96456646857891504</v>
      </c>
      <c r="G97" s="48">
        <v>8</v>
      </c>
      <c r="H97" s="53" t="s">
        <v>99</v>
      </c>
      <c r="I97" s="48">
        <v>7</v>
      </c>
      <c r="J97" s="48">
        <v>7</v>
      </c>
      <c r="K97" s="48">
        <f t="shared" si="27"/>
        <v>1680</v>
      </c>
      <c r="L97" s="72">
        <f t="shared" si="28"/>
        <v>2414.50142728015</v>
      </c>
      <c r="M97" s="72">
        <f t="shared" si="29"/>
        <v>4094.50142728015</v>
      </c>
    </row>
    <row r="98" spans="1:13" ht="20.100000000000001" customHeight="1" x14ac:dyDescent="0.15">
      <c r="A98" s="42"/>
      <c r="B98" s="42"/>
      <c r="C98" s="42"/>
      <c r="D98" s="54"/>
      <c r="E98" s="54"/>
      <c r="F98" s="55"/>
      <c r="G98" s="56"/>
      <c r="H98" s="42"/>
      <c r="I98" s="44"/>
      <c r="J98" s="48" t="s">
        <v>20</v>
      </c>
      <c r="K98" s="75">
        <f>SUM(K90:K97)</f>
        <v>13440</v>
      </c>
      <c r="L98" s="75">
        <f>SUM(L90:L97)</f>
        <v>20160</v>
      </c>
      <c r="M98" s="75">
        <f t="shared" si="29"/>
        <v>33600</v>
      </c>
    </row>
    <row r="99" spans="1:13" ht="20.100000000000001" customHeight="1" x14ac:dyDescent="0.15">
      <c r="A99" s="42"/>
      <c r="B99" s="42" t="s">
        <v>2</v>
      </c>
      <c r="C99" s="42" t="s">
        <v>3</v>
      </c>
      <c r="D99" s="43" t="s">
        <v>4</v>
      </c>
      <c r="E99" s="54"/>
      <c r="F99" s="55"/>
      <c r="G99" s="56"/>
      <c r="H99" s="42"/>
      <c r="I99" s="44"/>
      <c r="J99" s="44"/>
      <c r="K99" s="42"/>
      <c r="L99" s="42"/>
      <c r="M99" s="42"/>
    </row>
    <row r="100" spans="1:13" ht="20.100000000000001" customHeight="1" x14ac:dyDescent="0.15">
      <c r="A100" s="59" t="s">
        <v>100</v>
      </c>
      <c r="B100" s="48" t="s">
        <v>11</v>
      </c>
      <c r="C100" s="48">
        <v>21000</v>
      </c>
      <c r="D100" s="60">
        <v>16800</v>
      </c>
      <c r="E100" s="42"/>
      <c r="F100" s="42"/>
      <c r="G100" s="44"/>
      <c r="H100" s="44"/>
      <c r="I100" s="70" t="s">
        <v>22</v>
      </c>
      <c r="J100" s="62"/>
      <c r="K100" s="48"/>
      <c r="L100" s="48"/>
      <c r="M100" s="48"/>
    </row>
    <row r="101" spans="1:13" ht="20.100000000000001" customHeight="1" x14ac:dyDescent="0.15">
      <c r="A101" s="48" t="s">
        <v>23</v>
      </c>
      <c r="B101" s="48" t="s">
        <v>1</v>
      </c>
      <c r="C101" s="48" t="s">
        <v>24</v>
      </c>
      <c r="D101" s="48" t="s">
        <v>25</v>
      </c>
      <c r="E101" s="48" t="s">
        <v>26</v>
      </c>
      <c r="F101" s="48" t="s">
        <v>27</v>
      </c>
      <c r="G101" s="48" t="s">
        <v>28</v>
      </c>
      <c r="H101" s="48" t="s">
        <v>29</v>
      </c>
      <c r="I101" s="71" t="s">
        <v>30</v>
      </c>
      <c r="J101" s="71" t="s">
        <v>31</v>
      </c>
      <c r="K101" s="48" t="s">
        <v>32</v>
      </c>
      <c r="L101" s="48" t="s">
        <v>33</v>
      </c>
      <c r="M101" s="48" t="s">
        <v>20</v>
      </c>
    </row>
    <row r="102" spans="1:13" ht="20.100000000000001" customHeight="1" x14ac:dyDescent="0.15">
      <c r="A102" s="49" t="s">
        <v>64</v>
      </c>
      <c r="B102" s="50" t="s">
        <v>101</v>
      </c>
      <c r="C102" s="50">
        <v>41</v>
      </c>
      <c r="D102" s="51">
        <v>54.119718309859202</v>
      </c>
      <c r="E102" s="51">
        <v>64.575000000000003</v>
      </c>
      <c r="F102" s="52">
        <f t="shared" ref="F102:F108" si="30">E102/D102</f>
        <v>1.1931880286271901</v>
      </c>
      <c r="G102" s="65">
        <v>1</v>
      </c>
      <c r="H102" s="53" t="s">
        <v>102</v>
      </c>
      <c r="I102" s="48">
        <v>6</v>
      </c>
      <c r="J102" s="48">
        <v>7</v>
      </c>
      <c r="K102" s="48">
        <f t="shared" ref="K102:K108" si="31">$D$100*0.4*SUM(I102:J102)/SUM($I$102:$J$108)</f>
        <v>960</v>
      </c>
      <c r="L102" s="72">
        <f t="shared" ref="L102:L108" si="32">$D$100*0.6*0.7*E102/SUM($E$102:$E$108)+$D$100*0.6*0.3*F102/SUM($F$102:$F$108)</f>
        <v>1723.3553079364799</v>
      </c>
      <c r="M102" s="72">
        <f t="shared" ref="M102:M109" si="33">SUM(K102:L102)</f>
        <v>2683.3553079364801</v>
      </c>
    </row>
    <row r="103" spans="1:13" ht="20.100000000000001" customHeight="1" x14ac:dyDescent="0.15">
      <c r="A103" s="49" t="s">
        <v>49</v>
      </c>
      <c r="B103" s="50" t="s">
        <v>101</v>
      </c>
      <c r="C103" s="50">
        <v>43</v>
      </c>
      <c r="D103" s="51">
        <v>54.119718309859202</v>
      </c>
      <c r="E103" s="51">
        <v>55.4</v>
      </c>
      <c r="F103" s="52">
        <f t="shared" si="30"/>
        <v>1.02365647364997</v>
      </c>
      <c r="G103" s="65">
        <v>2</v>
      </c>
      <c r="H103" s="53" t="s">
        <v>103</v>
      </c>
      <c r="I103" s="48">
        <v>6</v>
      </c>
      <c r="J103" s="48">
        <v>7</v>
      </c>
      <c r="K103" s="48">
        <f t="shared" si="31"/>
        <v>960</v>
      </c>
      <c r="L103" s="72">
        <f t="shared" si="32"/>
        <v>1478.49607525638</v>
      </c>
      <c r="M103" s="72">
        <f t="shared" si="33"/>
        <v>2438.4960752563802</v>
      </c>
    </row>
    <row r="104" spans="1:13" ht="20.100000000000001" customHeight="1" x14ac:dyDescent="0.15">
      <c r="A104" s="49" t="s">
        <v>67</v>
      </c>
      <c r="B104" s="50" t="s">
        <v>101</v>
      </c>
      <c r="C104" s="50">
        <v>41</v>
      </c>
      <c r="D104" s="51">
        <v>54.119718309859202</v>
      </c>
      <c r="E104" s="51">
        <v>54.808510638297903</v>
      </c>
      <c r="F104" s="52">
        <f t="shared" si="30"/>
        <v>1.01272719722034</v>
      </c>
      <c r="G104" s="65">
        <v>3</v>
      </c>
      <c r="H104" s="53" t="s">
        <v>104</v>
      </c>
      <c r="I104" s="48">
        <v>6</v>
      </c>
      <c r="J104" s="48">
        <v>7</v>
      </c>
      <c r="K104" s="48">
        <f t="shared" si="31"/>
        <v>960</v>
      </c>
      <c r="L104" s="72">
        <f t="shared" si="32"/>
        <v>1462.71061136049</v>
      </c>
      <c r="M104" s="72">
        <f t="shared" si="33"/>
        <v>2422.71061136049</v>
      </c>
    </row>
    <row r="105" spans="1:13" ht="20.100000000000001" customHeight="1" x14ac:dyDescent="0.15">
      <c r="A105" s="49" t="s">
        <v>52</v>
      </c>
      <c r="B105" s="50" t="s">
        <v>101</v>
      </c>
      <c r="C105" s="50">
        <v>44</v>
      </c>
      <c r="D105" s="51">
        <v>54.119718309859202</v>
      </c>
      <c r="E105" s="51">
        <v>52.840909090909101</v>
      </c>
      <c r="F105" s="52">
        <f t="shared" si="30"/>
        <v>0.97637073401549601</v>
      </c>
      <c r="G105" s="65">
        <v>4</v>
      </c>
      <c r="H105" s="53" t="s">
        <v>102</v>
      </c>
      <c r="I105" s="48">
        <v>6</v>
      </c>
      <c r="J105" s="48">
        <v>7</v>
      </c>
      <c r="K105" s="48">
        <f t="shared" si="31"/>
        <v>960</v>
      </c>
      <c r="L105" s="72">
        <f t="shared" si="32"/>
        <v>1410.1999405034001</v>
      </c>
      <c r="M105" s="72">
        <f t="shared" si="33"/>
        <v>2370.1999405033998</v>
      </c>
    </row>
    <row r="106" spans="1:13" ht="20.100000000000001" customHeight="1" x14ac:dyDescent="0.15">
      <c r="A106" s="49" t="s">
        <v>74</v>
      </c>
      <c r="B106" s="50" t="s">
        <v>101</v>
      </c>
      <c r="C106" s="50">
        <v>48</v>
      </c>
      <c r="D106" s="51">
        <v>54.119718309859202</v>
      </c>
      <c r="E106" s="51">
        <v>51.1666666666667</v>
      </c>
      <c r="F106" s="52">
        <f t="shared" si="30"/>
        <v>0.94543482975493398</v>
      </c>
      <c r="G106" s="65">
        <v>5</v>
      </c>
      <c r="H106" s="53" t="s">
        <v>104</v>
      </c>
      <c r="I106" s="48">
        <v>6</v>
      </c>
      <c r="J106" s="48">
        <v>7</v>
      </c>
      <c r="K106" s="48">
        <f t="shared" si="31"/>
        <v>960</v>
      </c>
      <c r="L106" s="72">
        <f t="shared" si="32"/>
        <v>1365.5183366537599</v>
      </c>
      <c r="M106" s="72">
        <f t="shared" si="33"/>
        <v>2325.5183366537599</v>
      </c>
    </row>
    <row r="107" spans="1:13" ht="20.100000000000001" customHeight="1" x14ac:dyDescent="0.15">
      <c r="A107" s="49" t="s">
        <v>70</v>
      </c>
      <c r="B107" s="50" t="s">
        <v>101</v>
      </c>
      <c r="C107" s="50">
        <v>40</v>
      </c>
      <c r="D107" s="51">
        <v>54.119718309859202</v>
      </c>
      <c r="E107" s="51">
        <v>50.7826086956522</v>
      </c>
      <c r="F107" s="52">
        <f t="shared" si="30"/>
        <v>0.93833837798082098</v>
      </c>
      <c r="G107" s="65">
        <v>6</v>
      </c>
      <c r="H107" s="53" t="s">
        <v>105</v>
      </c>
      <c r="I107" s="48">
        <v>6</v>
      </c>
      <c r="J107" s="48">
        <v>7</v>
      </c>
      <c r="K107" s="48">
        <f t="shared" si="31"/>
        <v>960</v>
      </c>
      <c r="L107" s="72">
        <f t="shared" si="32"/>
        <v>1355.2687301047299</v>
      </c>
      <c r="M107" s="72">
        <f t="shared" si="33"/>
        <v>2315.2687301047299</v>
      </c>
    </row>
    <row r="108" spans="1:13" ht="20.100000000000001" customHeight="1" x14ac:dyDescent="0.15">
      <c r="A108" s="49" t="s">
        <v>72</v>
      </c>
      <c r="B108" s="50" t="s">
        <v>101</v>
      </c>
      <c r="C108" s="50">
        <v>45</v>
      </c>
      <c r="D108" s="51">
        <v>54.119718309859202</v>
      </c>
      <c r="E108" s="51">
        <v>48.129032258064498</v>
      </c>
      <c r="F108" s="52">
        <f t="shared" si="30"/>
        <v>0.88930677692194604</v>
      </c>
      <c r="G108" s="65">
        <v>7</v>
      </c>
      <c r="H108" s="53" t="s">
        <v>103</v>
      </c>
      <c r="I108" s="48">
        <v>6</v>
      </c>
      <c r="J108" s="48">
        <v>7</v>
      </c>
      <c r="K108" s="48">
        <f t="shared" si="31"/>
        <v>960</v>
      </c>
      <c r="L108" s="72">
        <f t="shared" si="32"/>
        <v>1284.45099818477</v>
      </c>
      <c r="M108" s="72">
        <f t="shared" si="33"/>
        <v>2244.45099818477</v>
      </c>
    </row>
    <row r="109" spans="1:13" ht="20.100000000000001" customHeight="1" x14ac:dyDescent="0.15">
      <c r="A109" s="42"/>
      <c r="B109" s="42"/>
      <c r="C109" s="42"/>
      <c r="D109" s="76"/>
      <c r="E109" s="76"/>
      <c r="F109" s="58"/>
      <c r="G109" s="56"/>
      <c r="H109" s="42"/>
      <c r="I109" s="44"/>
      <c r="J109" s="48" t="s">
        <v>20</v>
      </c>
      <c r="K109" s="75">
        <f>SUM(K102:K108)</f>
        <v>6720</v>
      </c>
      <c r="L109" s="75">
        <f>SUM(L102:L108)</f>
        <v>10080</v>
      </c>
      <c r="M109" s="75">
        <f t="shared" si="33"/>
        <v>16800</v>
      </c>
    </row>
    <row r="110" spans="1:13" ht="20.100000000000001" customHeight="1" x14ac:dyDescent="0.15">
      <c r="A110" s="42"/>
      <c r="B110" s="42" t="s">
        <v>2</v>
      </c>
      <c r="C110" s="42" t="s">
        <v>3</v>
      </c>
      <c r="D110" s="43" t="s">
        <v>4</v>
      </c>
      <c r="E110" s="76"/>
      <c r="F110" s="58"/>
      <c r="G110" s="56"/>
      <c r="H110" s="42"/>
      <c r="I110" s="44"/>
      <c r="J110" s="44"/>
      <c r="K110" s="42"/>
      <c r="L110" s="42"/>
      <c r="M110" s="42"/>
    </row>
    <row r="111" spans="1:13" ht="20.100000000000001" customHeight="1" x14ac:dyDescent="0.15">
      <c r="A111" s="59" t="s">
        <v>106</v>
      </c>
      <c r="B111" s="48" t="s">
        <v>18</v>
      </c>
      <c r="C111" s="48">
        <v>3600</v>
      </c>
      <c r="D111" s="60">
        <v>2880</v>
      </c>
      <c r="E111" s="42"/>
      <c r="F111" s="42"/>
      <c r="G111" s="44"/>
      <c r="H111" s="44"/>
      <c r="I111" s="70" t="s">
        <v>22</v>
      </c>
      <c r="J111" s="62"/>
      <c r="K111" s="48"/>
      <c r="L111" s="48"/>
      <c r="M111" s="48"/>
    </row>
    <row r="112" spans="1:13" ht="20.100000000000001" customHeight="1" x14ac:dyDescent="0.15">
      <c r="A112" s="48" t="s">
        <v>23</v>
      </c>
      <c r="B112" s="48" t="s">
        <v>1</v>
      </c>
      <c r="C112" s="48" t="s">
        <v>24</v>
      </c>
      <c r="D112" s="48" t="s">
        <v>25</v>
      </c>
      <c r="E112" s="48" t="s">
        <v>26</v>
      </c>
      <c r="F112" s="48" t="s">
        <v>27</v>
      </c>
      <c r="G112" s="48" t="s">
        <v>28</v>
      </c>
      <c r="H112" s="48" t="s">
        <v>29</v>
      </c>
      <c r="I112" s="71" t="s">
        <v>30</v>
      </c>
      <c r="J112" s="71" t="s">
        <v>31</v>
      </c>
      <c r="K112" s="48" t="s">
        <v>32</v>
      </c>
      <c r="L112" s="48" t="s">
        <v>33</v>
      </c>
      <c r="M112" s="48" t="s">
        <v>20</v>
      </c>
    </row>
    <row r="113" spans="1:13" ht="20.100000000000001" customHeight="1" x14ac:dyDescent="0.15">
      <c r="A113" s="49" t="s">
        <v>64</v>
      </c>
      <c r="B113" s="50" t="s">
        <v>107</v>
      </c>
      <c r="C113" s="50">
        <v>41</v>
      </c>
      <c r="D113" s="51">
        <v>74.300937500000003</v>
      </c>
      <c r="E113" s="51">
        <v>82.232500000000002</v>
      </c>
      <c r="F113" s="52">
        <f t="shared" ref="F113:F117" si="34">E113/D113</f>
        <v>1.1067491577747599</v>
      </c>
      <c r="G113" s="65">
        <v>1</v>
      </c>
      <c r="H113" s="53" t="s">
        <v>108</v>
      </c>
      <c r="I113" s="48">
        <v>6</v>
      </c>
      <c r="J113" s="48">
        <v>6</v>
      </c>
      <c r="K113" s="48">
        <f t="shared" ref="K113:K117" si="35">$D$111*0.4*SUM(I113:J113)/SUM($I$113:$J$117)</f>
        <v>230.4</v>
      </c>
      <c r="L113" s="72">
        <f t="shared" ref="L113:L117" si="36">$D$111*0.6*0.7*E113/SUM($E$113:$E$117)+$D$111*0.6*0.3*F113/SUM($F$113:$F$117)</f>
        <v>393.07757996901898</v>
      </c>
      <c r="M113" s="72">
        <f t="shared" ref="M113:M118" si="37">SUM(K113:L113)</f>
        <v>623.47757996901896</v>
      </c>
    </row>
    <row r="114" spans="1:13" ht="20.100000000000001" customHeight="1" x14ac:dyDescent="0.15">
      <c r="A114" s="49" t="s">
        <v>67</v>
      </c>
      <c r="B114" s="50" t="s">
        <v>107</v>
      </c>
      <c r="C114" s="50">
        <v>50</v>
      </c>
      <c r="D114" s="51">
        <v>74.300937500000003</v>
      </c>
      <c r="E114" s="51">
        <v>72.553191489361694</v>
      </c>
      <c r="F114" s="52">
        <f t="shared" si="34"/>
        <v>0.97647747027904896</v>
      </c>
      <c r="G114" s="65">
        <v>2</v>
      </c>
      <c r="H114" s="53" t="s">
        <v>109</v>
      </c>
      <c r="I114" s="48">
        <v>6</v>
      </c>
      <c r="J114" s="48">
        <v>6</v>
      </c>
      <c r="K114" s="48">
        <f t="shared" si="35"/>
        <v>230.4</v>
      </c>
      <c r="L114" s="72">
        <f t="shared" si="36"/>
        <v>346.80975197965699</v>
      </c>
      <c r="M114" s="72">
        <f t="shared" si="37"/>
        <v>577.20975197965697</v>
      </c>
    </row>
    <row r="115" spans="1:13" ht="20.100000000000001" customHeight="1" x14ac:dyDescent="0.15">
      <c r="A115" s="49" t="s">
        <v>70</v>
      </c>
      <c r="B115" s="50" t="s">
        <v>107</v>
      </c>
      <c r="C115" s="50">
        <v>45</v>
      </c>
      <c r="D115" s="51">
        <v>74.300937500000003</v>
      </c>
      <c r="E115" s="51">
        <v>69.206521739130395</v>
      </c>
      <c r="F115" s="52">
        <f t="shared" si="34"/>
        <v>0.93143537709911695</v>
      </c>
      <c r="G115" s="65">
        <v>3</v>
      </c>
      <c r="H115" s="53" t="s">
        <v>110</v>
      </c>
      <c r="I115" s="48">
        <v>6</v>
      </c>
      <c r="J115" s="48">
        <v>6</v>
      </c>
      <c r="K115" s="48">
        <f t="shared" si="35"/>
        <v>230.4</v>
      </c>
      <c r="L115" s="72">
        <f t="shared" si="36"/>
        <v>330.81241702843403</v>
      </c>
      <c r="M115" s="72">
        <f t="shared" si="37"/>
        <v>561.21241702843395</v>
      </c>
    </row>
    <row r="116" spans="1:13" ht="20.100000000000001" customHeight="1" x14ac:dyDescent="0.15">
      <c r="A116" s="49" t="s">
        <v>72</v>
      </c>
      <c r="B116" s="50" t="s">
        <v>107</v>
      </c>
      <c r="C116" s="50">
        <v>40</v>
      </c>
      <c r="D116" s="51">
        <v>74.300937500000003</v>
      </c>
      <c r="E116" s="51">
        <v>68.8</v>
      </c>
      <c r="F116" s="52">
        <f t="shared" si="34"/>
        <v>0.92596409029159299</v>
      </c>
      <c r="G116" s="65">
        <v>4</v>
      </c>
      <c r="H116" s="53" t="s">
        <v>109</v>
      </c>
      <c r="I116" s="48">
        <v>6</v>
      </c>
      <c r="J116" s="48">
        <v>6</v>
      </c>
      <c r="K116" s="48">
        <f t="shared" si="35"/>
        <v>230.4</v>
      </c>
      <c r="L116" s="72">
        <f t="shared" si="36"/>
        <v>328.86921231713097</v>
      </c>
      <c r="M116" s="72">
        <f t="shared" si="37"/>
        <v>559.26921231713095</v>
      </c>
    </row>
    <row r="117" spans="1:13" ht="20.100000000000001" customHeight="1" x14ac:dyDescent="0.15">
      <c r="A117" s="49" t="s">
        <v>74</v>
      </c>
      <c r="B117" s="50" t="s">
        <v>107</v>
      </c>
      <c r="C117" s="50">
        <v>45</v>
      </c>
      <c r="D117" s="51">
        <v>74.300937500000003</v>
      </c>
      <c r="E117" s="51">
        <v>68.7083333333333</v>
      </c>
      <c r="F117" s="52">
        <f t="shared" si="34"/>
        <v>0.924730368756562</v>
      </c>
      <c r="G117" s="65">
        <v>5</v>
      </c>
      <c r="H117" s="53" t="s">
        <v>110</v>
      </c>
      <c r="I117" s="48">
        <v>6</v>
      </c>
      <c r="J117" s="48">
        <v>6</v>
      </c>
      <c r="K117" s="48">
        <f t="shared" si="35"/>
        <v>230.4</v>
      </c>
      <c r="L117" s="72">
        <f t="shared" si="36"/>
        <v>328.43103870575902</v>
      </c>
      <c r="M117" s="72">
        <f t="shared" si="37"/>
        <v>558.83103870575906</v>
      </c>
    </row>
    <row r="118" spans="1:13" ht="20.100000000000001" customHeight="1" x14ac:dyDescent="0.15">
      <c r="A118" s="42"/>
      <c r="B118" s="42"/>
      <c r="C118" s="44"/>
      <c r="D118" s="42"/>
      <c r="E118" s="44"/>
      <c r="F118" s="44"/>
      <c r="G118" s="44"/>
      <c r="H118" s="44"/>
      <c r="I118" s="44"/>
      <c r="J118" s="48" t="s">
        <v>20</v>
      </c>
      <c r="K118" s="75">
        <f>SUM(K113:K117)</f>
        <v>1152</v>
      </c>
      <c r="L118" s="75">
        <f>SUM(L113:L117)</f>
        <v>1728</v>
      </c>
      <c r="M118" s="75">
        <f t="shared" si="37"/>
        <v>2880</v>
      </c>
    </row>
    <row r="119" spans="1:13" ht="20.100000000000001" customHeight="1" x14ac:dyDescent="0.15">
      <c r="A119" s="42"/>
      <c r="B119" s="42"/>
      <c r="C119" s="44"/>
      <c r="D119" s="42"/>
      <c r="E119" s="44"/>
      <c r="F119" s="44"/>
      <c r="G119" s="44"/>
      <c r="H119" s="44"/>
      <c r="I119" s="44"/>
      <c r="J119" s="44"/>
      <c r="K119" s="42"/>
      <c r="L119" s="42"/>
      <c r="M119" s="42"/>
    </row>
    <row r="120" spans="1:13" ht="20.100000000000001" customHeight="1" x14ac:dyDescent="0.15">
      <c r="A120" s="42"/>
      <c r="B120" s="42" t="s">
        <v>2</v>
      </c>
      <c r="C120" s="42" t="s">
        <v>3</v>
      </c>
      <c r="D120" s="42" t="s">
        <v>4</v>
      </c>
      <c r="E120" s="67"/>
      <c r="F120" s="55"/>
      <c r="G120" s="56"/>
      <c r="H120" s="42"/>
      <c r="I120" s="44"/>
      <c r="J120" s="44"/>
      <c r="K120" s="42"/>
      <c r="L120" s="42"/>
      <c r="M120" s="42"/>
    </row>
    <row r="121" spans="1:13" ht="20.100000000000001" customHeight="1" x14ac:dyDescent="0.15">
      <c r="A121" s="59" t="s">
        <v>111</v>
      </c>
      <c r="B121" s="48" t="s">
        <v>18</v>
      </c>
      <c r="C121" s="48">
        <v>9000</v>
      </c>
      <c r="D121" s="60">
        <v>7200</v>
      </c>
      <c r="E121" s="54"/>
      <c r="F121" s="55"/>
      <c r="G121" s="56"/>
      <c r="H121" s="42"/>
      <c r="I121" s="78" t="s">
        <v>22</v>
      </c>
      <c r="J121" s="79"/>
      <c r="K121" s="48"/>
      <c r="L121" s="48"/>
      <c r="M121" s="48"/>
    </row>
    <row r="122" spans="1:13" ht="20.100000000000001" customHeight="1" x14ac:dyDescent="0.15">
      <c r="A122" s="48" t="s">
        <v>23</v>
      </c>
      <c r="B122" s="48" t="s">
        <v>1</v>
      </c>
      <c r="C122" s="48" t="s">
        <v>24</v>
      </c>
      <c r="D122" s="48" t="s">
        <v>25</v>
      </c>
      <c r="E122" s="48" t="s">
        <v>26</v>
      </c>
      <c r="F122" s="48" t="s">
        <v>27</v>
      </c>
      <c r="G122" s="48" t="s">
        <v>28</v>
      </c>
      <c r="H122" s="48" t="s">
        <v>29</v>
      </c>
      <c r="I122" s="71" t="s">
        <v>30</v>
      </c>
      <c r="J122" s="71" t="s">
        <v>31</v>
      </c>
      <c r="K122" s="48" t="s">
        <v>32</v>
      </c>
      <c r="L122" s="48" t="s">
        <v>33</v>
      </c>
      <c r="M122" s="48" t="s">
        <v>20</v>
      </c>
    </row>
    <row r="123" spans="1:13" ht="20.100000000000001" customHeight="1" x14ac:dyDescent="0.15">
      <c r="A123" s="49" t="s">
        <v>76</v>
      </c>
      <c r="B123" s="50" t="s">
        <v>112</v>
      </c>
      <c r="C123" s="50">
        <v>43</v>
      </c>
      <c r="D123" s="51">
        <v>65.006987577639705</v>
      </c>
      <c r="E123" s="51">
        <v>105.93023255814001</v>
      </c>
      <c r="F123" s="61">
        <f t="shared" ref="F123:F130" si="38">E123/D123</f>
        <v>1.6295207100871201</v>
      </c>
      <c r="G123" s="48">
        <v>1</v>
      </c>
      <c r="H123" s="68" t="s">
        <v>113</v>
      </c>
      <c r="I123" s="48">
        <v>6</v>
      </c>
      <c r="J123" s="48">
        <v>7</v>
      </c>
      <c r="K123" s="48">
        <f t="shared" ref="K123:K130" si="39">$D$121*0.4*SUM(I123:J123)/SUM($I$123:$J$130)</f>
        <v>360</v>
      </c>
      <c r="L123" s="72">
        <f t="shared" ref="L123:L130" si="40">$D$121*0.6*0.7*E123/SUM($E$123:$E$130)+$D$121*0.6*0.3*F123/SUM($F$123:$F$130)</f>
        <v>815.40468792585102</v>
      </c>
      <c r="M123" s="72">
        <f t="shared" ref="M123:M131" si="41">SUM(K123:L123)</f>
        <v>1175.4046879258501</v>
      </c>
    </row>
    <row r="124" spans="1:13" ht="20.100000000000001" customHeight="1" x14ac:dyDescent="0.15">
      <c r="A124" s="49" t="s">
        <v>81</v>
      </c>
      <c r="B124" s="50" t="s">
        <v>112</v>
      </c>
      <c r="C124" s="50">
        <v>48</v>
      </c>
      <c r="D124" s="51">
        <v>65.006987577639705</v>
      </c>
      <c r="E124" s="51">
        <v>82.346938775510196</v>
      </c>
      <c r="F124" s="61">
        <f t="shared" si="38"/>
        <v>1.26673980511958</v>
      </c>
      <c r="G124" s="48">
        <v>2</v>
      </c>
      <c r="H124" s="53" t="s">
        <v>114</v>
      </c>
      <c r="I124" s="48">
        <v>6</v>
      </c>
      <c r="J124" s="48">
        <v>7</v>
      </c>
      <c r="K124" s="48">
        <f t="shared" si="39"/>
        <v>360</v>
      </c>
      <c r="L124" s="72">
        <f t="shared" si="40"/>
        <v>633.87078733203805</v>
      </c>
      <c r="M124" s="72">
        <f t="shared" si="41"/>
        <v>993.87078733203805</v>
      </c>
    </row>
    <row r="125" spans="1:13" ht="20.100000000000001" customHeight="1" x14ac:dyDescent="0.15">
      <c r="A125" s="49" t="s">
        <v>82</v>
      </c>
      <c r="B125" s="50" t="s">
        <v>112</v>
      </c>
      <c r="C125" s="50">
        <v>50</v>
      </c>
      <c r="D125" s="51">
        <v>65.006987577639705</v>
      </c>
      <c r="E125" s="51">
        <v>75.978260869565204</v>
      </c>
      <c r="F125" s="61">
        <f t="shared" si="38"/>
        <v>1.1687706768264301</v>
      </c>
      <c r="G125" s="48">
        <v>3</v>
      </c>
      <c r="H125" s="53" t="s">
        <v>115</v>
      </c>
      <c r="I125" s="48">
        <v>6</v>
      </c>
      <c r="J125" s="48">
        <v>7</v>
      </c>
      <c r="K125" s="48">
        <f t="shared" si="39"/>
        <v>360</v>
      </c>
      <c r="L125" s="72">
        <f t="shared" si="40"/>
        <v>584.847484966048</v>
      </c>
      <c r="M125" s="72">
        <f t="shared" si="41"/>
        <v>944.847484966048</v>
      </c>
    </row>
    <row r="126" spans="1:13" ht="20.100000000000001" customHeight="1" x14ac:dyDescent="0.15">
      <c r="A126" s="49" t="s">
        <v>78</v>
      </c>
      <c r="B126" s="50" t="s">
        <v>112</v>
      </c>
      <c r="C126" s="50">
        <v>41</v>
      </c>
      <c r="D126" s="51">
        <v>65.006987577639705</v>
      </c>
      <c r="E126" s="51">
        <v>67.913043478260903</v>
      </c>
      <c r="F126" s="61">
        <f t="shared" si="38"/>
        <v>1.04470374661109</v>
      </c>
      <c r="G126" s="48">
        <v>4</v>
      </c>
      <c r="H126" s="53" t="s">
        <v>116</v>
      </c>
      <c r="I126" s="48">
        <v>6</v>
      </c>
      <c r="J126" s="48">
        <v>7</v>
      </c>
      <c r="K126" s="48">
        <f t="shared" si="39"/>
        <v>360</v>
      </c>
      <c r="L126" s="72">
        <f t="shared" si="40"/>
        <v>522.76496224146899</v>
      </c>
      <c r="M126" s="72">
        <f t="shared" si="41"/>
        <v>882.76496224146899</v>
      </c>
    </row>
    <row r="127" spans="1:13" ht="20.100000000000001" customHeight="1" x14ac:dyDescent="0.15">
      <c r="A127" s="49" t="s">
        <v>83</v>
      </c>
      <c r="B127" s="50" t="s">
        <v>112</v>
      </c>
      <c r="C127" s="50">
        <v>48</v>
      </c>
      <c r="D127" s="51">
        <v>65.006987577639705</v>
      </c>
      <c r="E127" s="51">
        <v>67.122222222222206</v>
      </c>
      <c r="F127" s="61">
        <f t="shared" si="38"/>
        <v>1.0325385735196</v>
      </c>
      <c r="G127" s="48">
        <v>5</v>
      </c>
      <c r="H127" s="53" t="s">
        <v>113</v>
      </c>
      <c r="I127" s="48">
        <v>6</v>
      </c>
      <c r="J127" s="48">
        <v>7</v>
      </c>
      <c r="K127" s="48">
        <f t="shared" si="39"/>
        <v>360</v>
      </c>
      <c r="L127" s="72">
        <f t="shared" si="40"/>
        <v>516.677565434033</v>
      </c>
      <c r="M127" s="72">
        <f t="shared" si="41"/>
        <v>876.677565434033</v>
      </c>
    </row>
    <row r="128" spans="1:13" ht="20.100000000000001" customHeight="1" x14ac:dyDescent="0.15">
      <c r="A128" s="49" t="s">
        <v>80</v>
      </c>
      <c r="B128" s="50" t="s">
        <v>112</v>
      </c>
      <c r="C128" s="50">
        <v>41</v>
      </c>
      <c r="D128" s="51">
        <v>65.006987577639705</v>
      </c>
      <c r="E128" s="51">
        <v>66.510000000000005</v>
      </c>
      <c r="F128" s="61">
        <f t="shared" si="38"/>
        <v>1.0231207825245701</v>
      </c>
      <c r="G128" s="48">
        <v>6</v>
      </c>
      <c r="H128" s="53" t="s">
        <v>117</v>
      </c>
      <c r="I128" s="48">
        <v>6</v>
      </c>
      <c r="J128" s="48">
        <v>7</v>
      </c>
      <c r="K128" s="48">
        <f t="shared" si="39"/>
        <v>360</v>
      </c>
      <c r="L128" s="72">
        <f t="shared" si="40"/>
        <v>511.96494602409899</v>
      </c>
      <c r="M128" s="72">
        <f t="shared" si="41"/>
        <v>871.96494602409905</v>
      </c>
    </row>
    <row r="129" spans="1:13" ht="20.100000000000001" customHeight="1" x14ac:dyDescent="0.15">
      <c r="A129" s="49" t="s">
        <v>85</v>
      </c>
      <c r="B129" s="50" t="s">
        <v>112</v>
      </c>
      <c r="C129" s="50">
        <v>48</v>
      </c>
      <c r="D129" s="51">
        <v>65.006987577639705</v>
      </c>
      <c r="E129" s="51">
        <v>49.276315789473699</v>
      </c>
      <c r="F129" s="61">
        <f t="shared" si="38"/>
        <v>0.75801567840105799</v>
      </c>
      <c r="G129" s="48">
        <v>7</v>
      </c>
      <c r="H129" s="53" t="s">
        <v>118</v>
      </c>
      <c r="I129" s="48">
        <v>6</v>
      </c>
      <c r="J129" s="48">
        <v>7</v>
      </c>
      <c r="K129" s="48">
        <f t="shared" si="39"/>
        <v>360</v>
      </c>
      <c r="L129" s="72">
        <f t="shared" si="40"/>
        <v>379.30756808636801</v>
      </c>
      <c r="M129" s="72">
        <f t="shared" si="41"/>
        <v>739.30756808636795</v>
      </c>
    </row>
    <row r="130" spans="1:13" ht="20.100000000000001" customHeight="1" x14ac:dyDescent="0.15">
      <c r="A130" s="49" t="s">
        <v>84</v>
      </c>
      <c r="B130" s="50" t="s">
        <v>112</v>
      </c>
      <c r="C130" s="50">
        <v>50</v>
      </c>
      <c r="D130" s="51">
        <v>65.006987577639705</v>
      </c>
      <c r="E130" s="51">
        <v>46.139534883720899</v>
      </c>
      <c r="F130" s="61">
        <f t="shared" si="38"/>
        <v>0.70976269787328805</v>
      </c>
      <c r="G130" s="48">
        <v>8</v>
      </c>
      <c r="H130" s="53" t="s">
        <v>119</v>
      </c>
      <c r="I130" s="48">
        <v>6</v>
      </c>
      <c r="J130" s="48">
        <v>7</v>
      </c>
      <c r="K130" s="48">
        <f t="shared" si="39"/>
        <v>360</v>
      </c>
      <c r="L130" s="72">
        <f t="shared" si="40"/>
        <v>355.16199799009502</v>
      </c>
      <c r="M130" s="72">
        <f t="shared" si="41"/>
        <v>715.16199799009496</v>
      </c>
    </row>
    <row r="131" spans="1:13" ht="20.100000000000001" customHeight="1" x14ac:dyDescent="0.15">
      <c r="A131" s="42"/>
      <c r="B131" s="42"/>
      <c r="C131" s="42"/>
      <c r="D131" s="76"/>
      <c r="E131" s="76"/>
      <c r="F131" s="55"/>
      <c r="G131" s="56"/>
      <c r="H131" s="42"/>
      <c r="I131" s="42"/>
      <c r="J131" s="48" t="s">
        <v>20</v>
      </c>
      <c r="K131" s="75">
        <f>SUM(K123:K130)</f>
        <v>2880</v>
      </c>
      <c r="L131" s="74">
        <f>SUM(L123:L130)</f>
        <v>4320</v>
      </c>
      <c r="M131" s="75">
        <f t="shared" si="41"/>
        <v>7200</v>
      </c>
    </row>
    <row r="132" spans="1:13" ht="20.100000000000001" customHeight="1" x14ac:dyDescent="0.15">
      <c r="A132" s="42"/>
      <c r="B132" s="42"/>
      <c r="C132" s="44"/>
      <c r="D132" s="42"/>
      <c r="E132" s="44"/>
      <c r="F132" s="44"/>
      <c r="G132" s="44"/>
      <c r="H132" s="44"/>
      <c r="I132" s="44"/>
      <c r="J132" s="44"/>
      <c r="K132" s="42"/>
      <c r="L132" s="42"/>
      <c r="M132" s="42"/>
    </row>
    <row r="133" spans="1:13" ht="20.100000000000001" customHeight="1" x14ac:dyDescent="0.15">
      <c r="A133" s="42"/>
      <c r="B133" s="42" t="s">
        <v>2</v>
      </c>
      <c r="C133" s="42" t="s">
        <v>3</v>
      </c>
      <c r="D133" s="43" t="s">
        <v>4</v>
      </c>
      <c r="E133" s="76"/>
      <c r="F133" s="58"/>
      <c r="G133" s="56"/>
      <c r="H133" s="42"/>
      <c r="I133" s="44"/>
      <c r="J133" s="44"/>
      <c r="K133" s="42"/>
      <c r="L133" s="42"/>
      <c r="M133" s="42"/>
    </row>
    <row r="134" spans="1:13" ht="20.100000000000001" customHeight="1" x14ac:dyDescent="0.15">
      <c r="A134" s="59" t="s">
        <v>120</v>
      </c>
      <c r="B134" s="48" t="s">
        <v>11</v>
      </c>
      <c r="C134" s="48">
        <v>6000</v>
      </c>
      <c r="D134" s="60">
        <v>4800</v>
      </c>
      <c r="E134" s="42"/>
      <c r="F134" s="42"/>
      <c r="G134" s="44"/>
      <c r="H134" s="44"/>
      <c r="I134" s="70" t="s">
        <v>22</v>
      </c>
      <c r="J134" s="62"/>
      <c r="K134" s="48"/>
      <c r="L134" s="48"/>
      <c r="M134" s="48"/>
    </row>
    <row r="135" spans="1:13" ht="20.100000000000001" customHeight="1" x14ac:dyDescent="0.15">
      <c r="A135" s="48" t="s">
        <v>23</v>
      </c>
      <c r="B135" s="48" t="s">
        <v>1</v>
      </c>
      <c r="C135" s="48" t="s">
        <v>24</v>
      </c>
      <c r="D135" s="48" t="s">
        <v>25</v>
      </c>
      <c r="E135" s="48" t="s">
        <v>26</v>
      </c>
      <c r="F135" s="48" t="s">
        <v>27</v>
      </c>
      <c r="G135" s="48" t="s">
        <v>28</v>
      </c>
      <c r="H135" s="48" t="s">
        <v>29</v>
      </c>
      <c r="I135" s="71" t="s">
        <v>30</v>
      </c>
      <c r="J135" s="71" t="s">
        <v>31</v>
      </c>
      <c r="K135" s="48" t="s">
        <v>32</v>
      </c>
      <c r="L135" s="48" t="s">
        <v>33</v>
      </c>
      <c r="M135" s="48" t="s">
        <v>20</v>
      </c>
    </row>
    <row r="136" spans="1:13" ht="20.100000000000001" customHeight="1" x14ac:dyDescent="0.15">
      <c r="A136" s="49" t="s">
        <v>121</v>
      </c>
      <c r="B136" s="50" t="s">
        <v>107</v>
      </c>
      <c r="C136" s="50">
        <v>50</v>
      </c>
      <c r="D136" s="51">
        <v>74.300937500000003</v>
      </c>
      <c r="E136" s="51">
        <v>80.097999999999999</v>
      </c>
      <c r="F136" s="52">
        <f t="shared" ref="F136:F138" si="42">E136/D136</f>
        <v>1.0780213910490699</v>
      </c>
      <c r="G136" s="65">
        <v>1</v>
      </c>
      <c r="H136" s="53" t="s">
        <v>108</v>
      </c>
      <c r="I136" s="48">
        <v>6</v>
      </c>
      <c r="J136" s="48">
        <v>6</v>
      </c>
      <c r="K136" s="48">
        <f t="shared" ref="K136:K138" si="43">$D$134*0.4*SUM(I136:J136)/SUM($I$136:$J$138)</f>
        <v>640</v>
      </c>
      <c r="L136" s="72">
        <f t="shared" ref="L136:L138" si="44">$D$134*0.6*0.7*E136/SUM($E$136:$E$138)+$D$134*0.6*0.3*F136/SUM($F$136:$F$138)</f>
        <v>1004.74179008122</v>
      </c>
      <c r="M136" s="72">
        <f t="shared" ref="M136:M139" si="45">SUM(K136:L136)</f>
        <v>1644.74179008122</v>
      </c>
    </row>
    <row r="137" spans="1:13" ht="20.100000000000001" customHeight="1" x14ac:dyDescent="0.15">
      <c r="A137" s="49" t="s">
        <v>94</v>
      </c>
      <c r="B137" s="50" t="s">
        <v>107</v>
      </c>
      <c r="C137" s="50">
        <v>41</v>
      </c>
      <c r="D137" s="51">
        <v>74.300937500000003</v>
      </c>
      <c r="E137" s="51">
        <v>77.615555555555602</v>
      </c>
      <c r="F137" s="52">
        <f t="shared" si="42"/>
        <v>1.0446107164604199</v>
      </c>
      <c r="G137" s="65">
        <v>2</v>
      </c>
      <c r="H137" s="53" t="s">
        <v>122</v>
      </c>
      <c r="I137" s="48">
        <v>6</v>
      </c>
      <c r="J137" s="48">
        <v>6</v>
      </c>
      <c r="K137" s="48">
        <f t="shared" si="43"/>
        <v>640</v>
      </c>
      <c r="L137" s="72">
        <f t="shared" si="44"/>
        <v>973.60224009384694</v>
      </c>
      <c r="M137" s="72">
        <f t="shared" si="45"/>
        <v>1613.60224009385</v>
      </c>
    </row>
    <row r="138" spans="1:13" ht="20.100000000000001" customHeight="1" x14ac:dyDescent="0.15">
      <c r="A138" s="49" t="s">
        <v>123</v>
      </c>
      <c r="B138" s="50" t="s">
        <v>107</v>
      </c>
      <c r="C138" s="50">
        <v>48</v>
      </c>
      <c r="D138" s="51">
        <v>74.300937500000003</v>
      </c>
      <c r="E138" s="51">
        <v>71.88</v>
      </c>
      <c r="F138" s="52">
        <f t="shared" si="42"/>
        <v>0.96741713386859995</v>
      </c>
      <c r="G138" s="65">
        <v>3</v>
      </c>
      <c r="H138" s="53" t="s">
        <v>124</v>
      </c>
      <c r="I138" s="48">
        <v>6</v>
      </c>
      <c r="J138" s="48">
        <v>6</v>
      </c>
      <c r="K138" s="48">
        <f t="shared" si="43"/>
        <v>640</v>
      </c>
      <c r="L138" s="72">
        <f t="shared" si="44"/>
        <v>901.65596982493696</v>
      </c>
      <c r="M138" s="72">
        <f t="shared" si="45"/>
        <v>1541.65596982494</v>
      </c>
    </row>
    <row r="139" spans="1:13" ht="20.100000000000001" customHeight="1" x14ac:dyDescent="0.15">
      <c r="A139" s="42"/>
      <c r="B139" s="42"/>
      <c r="C139" s="44"/>
      <c r="D139" s="42"/>
      <c r="E139" s="44"/>
      <c r="F139" s="44"/>
      <c r="G139" s="44"/>
      <c r="H139" s="44"/>
      <c r="I139" s="44"/>
      <c r="J139" s="48" t="s">
        <v>20</v>
      </c>
      <c r="K139" s="75">
        <f>SUM(K136:K138)</f>
        <v>1920</v>
      </c>
      <c r="L139" s="75">
        <f>SUM(L136:L138)</f>
        <v>2880</v>
      </c>
      <c r="M139" s="75">
        <f t="shared" si="45"/>
        <v>4800</v>
      </c>
    </row>
  </sheetData>
  <mergeCells count="7">
    <mergeCell ref="I56:J56"/>
    <mergeCell ref="I121:J121"/>
    <mergeCell ref="A1:C1"/>
    <mergeCell ref="I17:J17"/>
    <mergeCell ref="I28:J28"/>
    <mergeCell ref="I34:J34"/>
    <mergeCell ref="I45:J45"/>
  </mergeCells>
  <phoneticPr fontId="1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1"/>
  <sheetViews>
    <sheetView workbookViewId="0">
      <pane ySplit="12" topLeftCell="A35" activePane="bottomLeft" state="frozen"/>
      <selection pane="bottomLeft" activeCell="H35" sqref="H35"/>
    </sheetView>
  </sheetViews>
  <sheetFormatPr defaultColWidth="9" defaultRowHeight="13.5" x14ac:dyDescent="0.15"/>
  <cols>
    <col min="1" max="1" width="24.875" customWidth="1"/>
    <col min="2" max="2" width="7" customWidth="1"/>
    <col min="3" max="4" width="12" customWidth="1"/>
    <col min="5" max="5" width="9.375" customWidth="1"/>
    <col min="6" max="6" width="21.5" customWidth="1"/>
    <col min="7" max="7" width="5.125" customWidth="1"/>
    <col min="8" max="8" width="18.625" customWidth="1"/>
    <col min="9" max="10" width="8.875" customWidth="1"/>
    <col min="11" max="13" width="12.5" customWidth="1"/>
  </cols>
  <sheetData>
    <row r="1" spans="1:13" ht="20.100000000000001" customHeight="1" x14ac:dyDescent="0.15">
      <c r="A1" s="77" t="s">
        <v>125</v>
      </c>
      <c r="B1" s="77"/>
      <c r="C1" s="77"/>
      <c r="D1" s="4"/>
      <c r="E1" s="5"/>
      <c r="F1" s="5"/>
      <c r="G1" s="5"/>
      <c r="H1" s="5"/>
      <c r="I1" s="5"/>
      <c r="J1" s="5"/>
      <c r="K1" s="5"/>
      <c r="L1" s="5"/>
      <c r="M1" s="5"/>
    </row>
    <row r="2" spans="1:13" ht="20.100000000000001" customHeight="1" x14ac:dyDescent="0.15">
      <c r="A2" s="4" t="s">
        <v>1</v>
      </c>
      <c r="B2" s="4" t="s">
        <v>2</v>
      </c>
      <c r="C2" s="6" t="s">
        <v>3</v>
      </c>
      <c r="D2" s="7" t="s">
        <v>4</v>
      </c>
      <c r="E2" s="5"/>
      <c r="F2" s="5"/>
      <c r="G2" s="5"/>
      <c r="H2" s="5"/>
      <c r="I2" s="5"/>
      <c r="J2" s="5"/>
      <c r="K2" s="5"/>
      <c r="L2" s="5"/>
      <c r="M2" s="5"/>
    </row>
    <row r="3" spans="1:13" ht="20.100000000000001" customHeight="1" x14ac:dyDescent="0.15">
      <c r="A3" s="8" t="s">
        <v>10</v>
      </c>
      <c r="B3" s="9" t="s">
        <v>6</v>
      </c>
      <c r="C3" s="9">
        <f>7*6000*0.6</f>
        <v>25200</v>
      </c>
      <c r="D3" s="10">
        <f t="shared" ref="D3:D11" si="0">C3*0.8</f>
        <v>20160</v>
      </c>
      <c r="E3" s="5"/>
      <c r="F3" s="5"/>
      <c r="G3" s="5"/>
      <c r="H3" s="5"/>
      <c r="I3" s="5"/>
      <c r="J3" s="5"/>
      <c r="K3" s="5"/>
      <c r="L3" s="5"/>
      <c r="M3" s="5"/>
    </row>
    <row r="4" spans="1:13" ht="20.100000000000001" customHeight="1" x14ac:dyDescent="0.15">
      <c r="A4" s="11" t="s">
        <v>126</v>
      </c>
      <c r="B4" s="9" t="s">
        <v>6</v>
      </c>
      <c r="C4" s="9">
        <f>6000*8</f>
        <v>48000</v>
      </c>
      <c r="D4" s="10">
        <f t="shared" si="0"/>
        <v>38400</v>
      </c>
      <c r="E4" s="5"/>
      <c r="F4" s="5"/>
      <c r="G4" s="5"/>
      <c r="H4" s="5"/>
      <c r="I4" s="5"/>
      <c r="J4" s="5"/>
      <c r="K4" s="5"/>
      <c r="L4" s="5"/>
      <c r="M4" s="5"/>
    </row>
    <row r="5" spans="1:13" ht="20.100000000000001" customHeight="1" x14ac:dyDescent="0.15">
      <c r="A5" s="11" t="s">
        <v>127</v>
      </c>
      <c r="B5" s="9" t="s">
        <v>6</v>
      </c>
      <c r="C5" s="9">
        <f>4*6000*0.6</f>
        <v>14400</v>
      </c>
      <c r="D5" s="10">
        <f t="shared" si="0"/>
        <v>11520</v>
      </c>
      <c r="E5" s="5"/>
      <c r="F5" s="5"/>
      <c r="G5" s="5"/>
      <c r="H5" s="5"/>
      <c r="I5" s="5"/>
      <c r="J5" s="5"/>
      <c r="K5" s="5"/>
      <c r="L5" s="5"/>
      <c r="M5" s="5"/>
    </row>
    <row r="6" spans="1:13" ht="20.100000000000001" customHeight="1" x14ac:dyDescent="0.15">
      <c r="A6" s="11" t="s">
        <v>7</v>
      </c>
      <c r="B6" s="9" t="s">
        <v>11</v>
      </c>
      <c r="C6" s="9">
        <f>4000*7</f>
        <v>28000</v>
      </c>
      <c r="D6" s="10">
        <f t="shared" si="0"/>
        <v>22400</v>
      </c>
      <c r="E6" s="5"/>
      <c r="F6" s="5"/>
      <c r="G6" s="5"/>
      <c r="H6" s="5"/>
      <c r="I6" s="5"/>
      <c r="J6" s="5"/>
      <c r="K6" s="5"/>
      <c r="L6" s="5"/>
      <c r="M6" s="5"/>
    </row>
    <row r="7" spans="1:13" ht="20.100000000000001" customHeight="1" x14ac:dyDescent="0.15">
      <c r="A7" s="11" t="s">
        <v>128</v>
      </c>
      <c r="B7" s="9" t="s">
        <v>18</v>
      </c>
      <c r="C7" s="9">
        <f>2000*7</f>
        <v>14000</v>
      </c>
      <c r="D7" s="10">
        <f t="shared" si="0"/>
        <v>11200</v>
      </c>
      <c r="E7" s="5"/>
      <c r="F7" s="5"/>
      <c r="G7" s="5"/>
      <c r="H7" s="5"/>
      <c r="I7" s="5"/>
      <c r="J7" s="5"/>
      <c r="K7" s="5"/>
      <c r="L7" s="5"/>
      <c r="M7" s="5"/>
    </row>
    <row r="8" spans="1:13" ht="20.100000000000001" customHeight="1" x14ac:dyDescent="0.15">
      <c r="A8" s="11" t="s">
        <v>129</v>
      </c>
      <c r="B8" s="9" t="s">
        <v>18</v>
      </c>
      <c r="C8" s="9">
        <f>2000*0.6*7</f>
        <v>8400</v>
      </c>
      <c r="D8" s="10">
        <f t="shared" si="0"/>
        <v>6720</v>
      </c>
      <c r="E8" s="5"/>
      <c r="F8" s="5"/>
      <c r="G8" s="5"/>
      <c r="H8" s="5"/>
      <c r="I8" s="5"/>
      <c r="J8" s="5"/>
      <c r="K8" s="5"/>
      <c r="L8" s="5"/>
      <c r="M8" s="5"/>
    </row>
    <row r="9" spans="1:13" ht="20.100000000000001" customHeight="1" x14ac:dyDescent="0.15">
      <c r="A9" s="11" t="s">
        <v>130</v>
      </c>
      <c r="B9" s="9" t="s">
        <v>18</v>
      </c>
      <c r="C9" s="9">
        <f>2000*8*0.6</f>
        <v>9600</v>
      </c>
      <c r="D9" s="10">
        <f t="shared" si="0"/>
        <v>7680</v>
      </c>
      <c r="E9" s="5"/>
      <c r="F9" s="5"/>
      <c r="G9" s="5"/>
      <c r="H9" s="5"/>
      <c r="I9" s="5"/>
      <c r="J9" s="5"/>
      <c r="K9" s="5"/>
      <c r="L9" s="5"/>
      <c r="M9" s="5"/>
    </row>
    <row r="10" spans="1:13" ht="20.100000000000001" customHeight="1" x14ac:dyDescent="0.15">
      <c r="A10" s="11" t="s">
        <v>131</v>
      </c>
      <c r="B10" s="9" t="s">
        <v>18</v>
      </c>
      <c r="C10" s="9">
        <f>2000*8*0.6</f>
        <v>9600</v>
      </c>
      <c r="D10" s="10">
        <f t="shared" si="0"/>
        <v>7680</v>
      </c>
      <c r="E10" s="5"/>
      <c r="F10" s="5"/>
      <c r="G10" s="5"/>
      <c r="H10" s="5"/>
      <c r="I10" s="5"/>
      <c r="J10" s="5"/>
      <c r="K10" s="5"/>
      <c r="L10" s="5"/>
      <c r="M10" s="5"/>
    </row>
    <row r="11" spans="1:13" ht="20.100000000000001" customHeight="1" x14ac:dyDescent="0.15">
      <c r="A11" s="11" t="s">
        <v>132</v>
      </c>
      <c r="B11" s="9" t="s">
        <v>11</v>
      </c>
      <c r="C11" s="9">
        <f>4000*7*0.6</f>
        <v>16800</v>
      </c>
      <c r="D11" s="10">
        <f t="shared" si="0"/>
        <v>13440</v>
      </c>
      <c r="E11" s="5"/>
      <c r="F11" s="5"/>
      <c r="G11" s="5"/>
      <c r="H11" s="5"/>
      <c r="I11" s="5"/>
      <c r="J11" s="5"/>
      <c r="K11" s="5"/>
      <c r="L11" s="5"/>
      <c r="M11" s="5"/>
    </row>
    <row r="12" spans="1:13" ht="20.100000000000001" customHeight="1" x14ac:dyDescent="0.15">
      <c r="A12" s="12"/>
      <c r="B12" s="12" t="s">
        <v>20</v>
      </c>
      <c r="C12" s="12">
        <f>SUM(C3:C11)</f>
        <v>174000</v>
      </c>
      <c r="D12" s="12">
        <f>SUM(D3:D11)</f>
        <v>139200</v>
      </c>
      <c r="E12" s="5"/>
      <c r="F12" s="5"/>
      <c r="G12" s="5"/>
      <c r="H12" s="5"/>
      <c r="I12" s="5"/>
      <c r="J12" s="5"/>
      <c r="K12" s="5"/>
      <c r="L12" s="5"/>
      <c r="M12" s="5"/>
    </row>
    <row r="13" spans="1:13" ht="20.100000000000001" customHeight="1" x14ac:dyDescent="0.15">
      <c r="A13" s="4"/>
      <c r="B13" s="4" t="s">
        <v>2</v>
      </c>
      <c r="C13" s="4" t="s">
        <v>3</v>
      </c>
      <c r="D13" s="7" t="s">
        <v>4</v>
      </c>
      <c r="E13" s="13"/>
      <c r="F13" s="14"/>
      <c r="G13" s="15"/>
      <c r="H13" s="4"/>
      <c r="I13" s="20"/>
      <c r="J13" s="20"/>
      <c r="K13" s="4"/>
      <c r="L13" s="4"/>
      <c r="M13" s="4"/>
    </row>
    <row r="14" spans="1:13" ht="20.100000000000001" customHeight="1" x14ac:dyDescent="0.15">
      <c r="A14" s="16" t="s">
        <v>133</v>
      </c>
      <c r="B14" s="17" t="s">
        <v>6</v>
      </c>
      <c r="C14" s="18">
        <f>7*6000*0.6</f>
        <v>25200</v>
      </c>
      <c r="D14" s="19">
        <f>C14*0.8</f>
        <v>20160</v>
      </c>
      <c r="E14" s="4"/>
      <c r="F14" s="4"/>
      <c r="G14" s="20"/>
      <c r="H14" s="20"/>
      <c r="I14" s="31" t="s">
        <v>22</v>
      </c>
      <c r="J14" s="30"/>
      <c r="K14" s="17"/>
      <c r="L14" s="17"/>
      <c r="M14" s="17"/>
    </row>
    <row r="15" spans="1:13" ht="20.100000000000001" customHeight="1" x14ac:dyDescent="0.15">
      <c r="A15" s="17" t="s">
        <v>23</v>
      </c>
      <c r="B15" s="17" t="s">
        <v>1</v>
      </c>
      <c r="C15" s="17" t="s">
        <v>24</v>
      </c>
      <c r="D15" s="17" t="s">
        <v>25</v>
      </c>
      <c r="E15" s="17" t="s">
        <v>26</v>
      </c>
      <c r="F15" s="17" t="s">
        <v>27</v>
      </c>
      <c r="G15" s="17" t="s">
        <v>28</v>
      </c>
      <c r="H15" s="17" t="s">
        <v>29</v>
      </c>
      <c r="I15" s="32" t="s">
        <v>30</v>
      </c>
      <c r="J15" s="32" t="s">
        <v>31</v>
      </c>
      <c r="K15" s="17" t="s">
        <v>32</v>
      </c>
      <c r="L15" s="17" t="s">
        <v>33</v>
      </c>
      <c r="M15" s="17" t="s">
        <v>20</v>
      </c>
    </row>
    <row r="16" spans="1:13" ht="20.100000000000001" customHeight="1" x14ac:dyDescent="0.15">
      <c r="A16" s="21" t="s">
        <v>64</v>
      </c>
      <c r="B16" s="2" t="s">
        <v>101</v>
      </c>
      <c r="C16" s="2">
        <v>41</v>
      </c>
      <c r="D16" s="22">
        <v>54.119718309859202</v>
      </c>
      <c r="E16" s="22">
        <v>64.575000000000003</v>
      </c>
      <c r="F16" s="23">
        <f t="shared" ref="F16:F22" si="1">E16/D16</f>
        <v>1.1931880286271901</v>
      </c>
      <c r="G16" s="24">
        <v>1</v>
      </c>
      <c r="H16" s="25" t="s">
        <v>102</v>
      </c>
      <c r="I16" s="17">
        <v>6</v>
      </c>
      <c r="J16" s="17">
        <v>7</v>
      </c>
      <c r="K16" s="17">
        <f t="shared" ref="K16:K22" si="2">$D$14*0.4*SUM(I16:J16)/SUM($I$16:$J$22)</f>
        <v>1152</v>
      </c>
      <c r="L16" s="33">
        <f t="shared" ref="L16:L22" si="3">$D$14*0.6*0.7*E16/SUM($E$16:$E$22)+$D$14*0.6*0.3*F16/SUM($F$16:$F$22)</f>
        <v>2068.02636952377</v>
      </c>
      <c r="M16" s="33">
        <f t="shared" ref="M16:M23" si="4">SUM(K16:L16)</f>
        <v>3220.02636952377</v>
      </c>
    </row>
    <row r="17" spans="1:13" ht="20.100000000000001" customHeight="1" x14ac:dyDescent="0.15">
      <c r="A17" s="21" t="s">
        <v>49</v>
      </c>
      <c r="B17" s="2" t="s">
        <v>101</v>
      </c>
      <c r="C17" s="2">
        <v>43</v>
      </c>
      <c r="D17" s="22">
        <v>54.119718309859202</v>
      </c>
      <c r="E17" s="22">
        <v>55.4</v>
      </c>
      <c r="F17" s="23">
        <f t="shared" si="1"/>
        <v>1.02365647364997</v>
      </c>
      <c r="G17" s="24">
        <v>2</v>
      </c>
      <c r="H17" s="25" t="s">
        <v>103</v>
      </c>
      <c r="I17" s="17">
        <v>6</v>
      </c>
      <c r="J17" s="17">
        <v>7</v>
      </c>
      <c r="K17" s="17">
        <f t="shared" si="2"/>
        <v>1152</v>
      </c>
      <c r="L17" s="33">
        <f t="shared" si="3"/>
        <v>1774.1952903076599</v>
      </c>
      <c r="M17" s="33">
        <f t="shared" si="4"/>
        <v>2926.1952903076599</v>
      </c>
    </row>
    <row r="18" spans="1:13" ht="20.100000000000001" customHeight="1" x14ac:dyDescent="0.15">
      <c r="A18" s="21" t="s">
        <v>67</v>
      </c>
      <c r="B18" s="2" t="s">
        <v>101</v>
      </c>
      <c r="C18" s="2">
        <v>41</v>
      </c>
      <c r="D18" s="22">
        <v>54.119718309859202</v>
      </c>
      <c r="E18" s="22">
        <v>54.808510638297903</v>
      </c>
      <c r="F18" s="23">
        <f t="shared" si="1"/>
        <v>1.01272719722034</v>
      </c>
      <c r="G18" s="24">
        <v>3</v>
      </c>
      <c r="H18" s="25" t="s">
        <v>104</v>
      </c>
      <c r="I18" s="17">
        <v>6</v>
      </c>
      <c r="J18" s="17">
        <v>7</v>
      </c>
      <c r="K18" s="17">
        <f t="shared" si="2"/>
        <v>1152</v>
      </c>
      <c r="L18" s="33">
        <f t="shared" si="3"/>
        <v>1755.25273363258</v>
      </c>
      <c r="M18" s="33">
        <f t="shared" si="4"/>
        <v>2907.2527336325802</v>
      </c>
    </row>
    <row r="19" spans="1:13" ht="20.100000000000001" customHeight="1" x14ac:dyDescent="0.15">
      <c r="A19" s="21" t="s">
        <v>52</v>
      </c>
      <c r="B19" s="2" t="s">
        <v>101</v>
      </c>
      <c r="C19" s="2">
        <v>44</v>
      </c>
      <c r="D19" s="22">
        <v>54.119718309859202</v>
      </c>
      <c r="E19" s="22">
        <v>52.840909090909101</v>
      </c>
      <c r="F19" s="23">
        <f t="shared" si="1"/>
        <v>0.97637073401549601</v>
      </c>
      <c r="G19" s="24">
        <v>4</v>
      </c>
      <c r="H19" s="25" t="s">
        <v>102</v>
      </c>
      <c r="I19" s="17">
        <v>6</v>
      </c>
      <c r="J19" s="17">
        <v>7</v>
      </c>
      <c r="K19" s="17">
        <f t="shared" si="2"/>
        <v>1152</v>
      </c>
      <c r="L19" s="33">
        <f t="shared" si="3"/>
        <v>1692.23992860408</v>
      </c>
      <c r="M19" s="33">
        <f t="shared" si="4"/>
        <v>2844.23992860408</v>
      </c>
    </row>
    <row r="20" spans="1:13" ht="20.100000000000001" customHeight="1" x14ac:dyDescent="0.15">
      <c r="A20" s="21" t="s">
        <v>74</v>
      </c>
      <c r="B20" s="2" t="s">
        <v>101</v>
      </c>
      <c r="C20" s="2">
        <v>48</v>
      </c>
      <c r="D20" s="22">
        <v>54.119718309859202</v>
      </c>
      <c r="E20" s="22">
        <v>51.1666666666667</v>
      </c>
      <c r="F20" s="23">
        <f t="shared" si="1"/>
        <v>0.94543482975493398</v>
      </c>
      <c r="G20" s="24">
        <v>5</v>
      </c>
      <c r="H20" s="25" t="s">
        <v>104</v>
      </c>
      <c r="I20" s="17">
        <v>6</v>
      </c>
      <c r="J20" s="17">
        <v>7</v>
      </c>
      <c r="K20" s="17">
        <f t="shared" si="2"/>
        <v>1152</v>
      </c>
      <c r="L20" s="33">
        <f t="shared" si="3"/>
        <v>1638.62200398451</v>
      </c>
      <c r="M20" s="33">
        <f t="shared" si="4"/>
        <v>2790.6220039845098</v>
      </c>
    </row>
    <row r="21" spans="1:13" ht="20.100000000000001" customHeight="1" x14ac:dyDescent="0.15">
      <c r="A21" s="21" t="s">
        <v>70</v>
      </c>
      <c r="B21" s="2" t="s">
        <v>101</v>
      </c>
      <c r="C21" s="2">
        <v>40</v>
      </c>
      <c r="D21" s="22">
        <v>54.119718309859202</v>
      </c>
      <c r="E21" s="22">
        <v>50.7826086956522</v>
      </c>
      <c r="F21" s="23">
        <f t="shared" si="1"/>
        <v>0.93833837798082098</v>
      </c>
      <c r="G21" s="24">
        <v>6</v>
      </c>
      <c r="H21" s="25" t="s">
        <v>105</v>
      </c>
      <c r="I21" s="17">
        <v>6</v>
      </c>
      <c r="J21" s="17">
        <v>7</v>
      </c>
      <c r="K21" s="17">
        <f t="shared" si="2"/>
        <v>1152</v>
      </c>
      <c r="L21" s="33">
        <f t="shared" si="3"/>
        <v>1626.3224761256799</v>
      </c>
      <c r="M21" s="33">
        <f t="shared" si="4"/>
        <v>2778.3224761256802</v>
      </c>
    </row>
    <row r="22" spans="1:13" ht="20.100000000000001" customHeight="1" x14ac:dyDescent="0.15">
      <c r="A22" s="21" t="s">
        <v>72</v>
      </c>
      <c r="B22" s="2" t="s">
        <v>101</v>
      </c>
      <c r="C22" s="2">
        <v>45</v>
      </c>
      <c r="D22" s="22">
        <v>54.119718309859202</v>
      </c>
      <c r="E22" s="22">
        <v>48.129032258064498</v>
      </c>
      <c r="F22" s="23">
        <f t="shared" si="1"/>
        <v>0.88930677692194604</v>
      </c>
      <c r="G22" s="24">
        <v>7</v>
      </c>
      <c r="H22" s="25" t="s">
        <v>103</v>
      </c>
      <c r="I22" s="17">
        <v>6</v>
      </c>
      <c r="J22" s="17">
        <v>7</v>
      </c>
      <c r="K22" s="17">
        <f t="shared" si="2"/>
        <v>1152</v>
      </c>
      <c r="L22" s="33">
        <f t="shared" si="3"/>
        <v>1541.34119782172</v>
      </c>
      <c r="M22" s="33">
        <f t="shared" si="4"/>
        <v>2693.34119782172</v>
      </c>
    </row>
    <row r="23" spans="1:13" ht="20.100000000000001" customHeight="1" x14ac:dyDescent="0.15">
      <c r="A23" s="4"/>
      <c r="B23" s="4"/>
      <c r="C23" s="4"/>
      <c r="D23" s="26"/>
      <c r="E23" s="26"/>
      <c r="F23" s="27"/>
      <c r="G23" s="15"/>
      <c r="H23" s="4"/>
      <c r="I23" s="20"/>
      <c r="J23" s="17" t="s">
        <v>20</v>
      </c>
      <c r="K23" s="34">
        <f>SUM(K16:K22)</f>
        <v>8064</v>
      </c>
      <c r="L23" s="34">
        <f>SUM(L16:L22)</f>
        <v>12096</v>
      </c>
      <c r="M23" s="34">
        <f t="shared" si="4"/>
        <v>20160</v>
      </c>
    </row>
    <row r="24" spans="1:13" ht="20.100000000000001" customHeight="1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 ht="20.100000000000001" customHeight="1" x14ac:dyDescent="0.15">
      <c r="A25" s="4"/>
      <c r="B25" s="4" t="s">
        <v>2</v>
      </c>
      <c r="C25" s="4" t="s">
        <v>3</v>
      </c>
      <c r="D25" s="7" t="s">
        <v>4</v>
      </c>
      <c r="E25" s="13"/>
      <c r="F25" s="27"/>
      <c r="G25" s="15"/>
      <c r="H25" s="4"/>
      <c r="I25" s="20"/>
      <c r="J25" s="20"/>
      <c r="K25" s="4"/>
      <c r="L25" s="4"/>
      <c r="M25" s="4"/>
    </row>
    <row r="26" spans="1:13" ht="20.100000000000001" customHeight="1" x14ac:dyDescent="0.15">
      <c r="A26" s="16" t="s">
        <v>134</v>
      </c>
      <c r="B26" s="17" t="s">
        <v>6</v>
      </c>
      <c r="C26" s="18">
        <f>6000*8</f>
        <v>48000</v>
      </c>
      <c r="D26" s="19">
        <f>C26*0.8</f>
        <v>38400</v>
      </c>
      <c r="E26" s="4"/>
      <c r="F26" s="4"/>
      <c r="G26" s="20"/>
      <c r="H26" s="4"/>
      <c r="I26" s="31" t="s">
        <v>22</v>
      </c>
      <c r="J26" s="30"/>
      <c r="K26" s="17"/>
      <c r="L26" s="17"/>
      <c r="M26" s="17"/>
    </row>
    <row r="27" spans="1:13" ht="20.100000000000001" customHeight="1" x14ac:dyDescent="0.15">
      <c r="A27" s="17" t="s">
        <v>23</v>
      </c>
      <c r="B27" s="17" t="s">
        <v>1</v>
      </c>
      <c r="C27" s="17" t="s">
        <v>24</v>
      </c>
      <c r="D27" s="17" t="s">
        <v>25</v>
      </c>
      <c r="E27" s="17" t="s">
        <v>26</v>
      </c>
      <c r="F27" s="17" t="s">
        <v>27</v>
      </c>
      <c r="G27" s="17" t="s">
        <v>28</v>
      </c>
      <c r="H27" s="17" t="s">
        <v>29</v>
      </c>
      <c r="I27" s="32" t="s">
        <v>30</v>
      </c>
      <c r="J27" s="32" t="s">
        <v>31</v>
      </c>
      <c r="K27" s="17" t="s">
        <v>32</v>
      </c>
      <c r="L27" s="17" t="s">
        <v>33</v>
      </c>
      <c r="M27" s="17" t="s">
        <v>20</v>
      </c>
    </row>
    <row r="28" spans="1:13" ht="20.100000000000001" customHeight="1" x14ac:dyDescent="0.15">
      <c r="A28" s="21" t="s">
        <v>76</v>
      </c>
      <c r="B28" s="2" t="s">
        <v>56</v>
      </c>
      <c r="C28" s="2">
        <v>43</v>
      </c>
      <c r="D28" s="22">
        <v>86.434782608695699</v>
      </c>
      <c r="E28" s="22">
        <v>95.255813953488399</v>
      </c>
      <c r="F28" s="23">
        <f t="shared" ref="F28:F35" si="5">E28/D28</f>
        <v>1.1020541855785899</v>
      </c>
      <c r="G28" s="17">
        <v>1</v>
      </c>
      <c r="H28" s="28" t="s">
        <v>97</v>
      </c>
      <c r="I28" s="17">
        <v>7</v>
      </c>
      <c r="J28" s="17">
        <v>7</v>
      </c>
      <c r="K28" s="17">
        <f t="shared" ref="K28:K35" si="6">$D$26*0.4*SUM(I28:J28)/SUM($I$28:$J$35)</f>
        <v>1920</v>
      </c>
      <c r="L28" s="33">
        <f t="shared" ref="L28:L35" si="7">$D$26*0.6*0.7*E28/SUM($E$28:$E$35)+$D$26*0.6*0.3*F28/SUM($F$28:$F$35)</f>
        <v>3152.7548423636599</v>
      </c>
      <c r="M28" s="33">
        <f t="shared" ref="M28:M36" si="8">SUM(K28:L28)</f>
        <v>5072.7548423636599</v>
      </c>
    </row>
    <row r="29" spans="1:13" ht="20.100000000000001" customHeight="1" x14ac:dyDescent="0.15">
      <c r="A29" s="21" t="s">
        <v>82</v>
      </c>
      <c r="B29" s="2" t="s">
        <v>56</v>
      </c>
      <c r="C29" s="2">
        <v>41</v>
      </c>
      <c r="D29" s="22">
        <v>86.434782608695699</v>
      </c>
      <c r="E29" s="22">
        <v>88.043478260869605</v>
      </c>
      <c r="F29" s="23">
        <f t="shared" si="5"/>
        <v>1.01861167002012</v>
      </c>
      <c r="G29" s="17">
        <v>2</v>
      </c>
      <c r="H29" s="25" t="s">
        <v>98</v>
      </c>
      <c r="I29" s="17">
        <v>7</v>
      </c>
      <c r="J29" s="17">
        <v>7</v>
      </c>
      <c r="K29" s="17">
        <f t="shared" si="6"/>
        <v>1920</v>
      </c>
      <c r="L29" s="33">
        <f t="shared" si="7"/>
        <v>2914.0426280020301</v>
      </c>
      <c r="M29" s="33">
        <f t="shared" si="8"/>
        <v>4834.0426280020301</v>
      </c>
    </row>
    <row r="30" spans="1:13" ht="20.100000000000001" customHeight="1" x14ac:dyDescent="0.15">
      <c r="A30" s="21" t="s">
        <v>78</v>
      </c>
      <c r="B30" s="2" t="s">
        <v>56</v>
      </c>
      <c r="C30" s="2">
        <v>50</v>
      </c>
      <c r="D30" s="22">
        <v>86.434782608695699</v>
      </c>
      <c r="E30" s="22">
        <v>87.891304347826093</v>
      </c>
      <c r="F30" s="23">
        <f t="shared" si="5"/>
        <v>1.01685110663984</v>
      </c>
      <c r="G30" s="17">
        <v>3</v>
      </c>
      <c r="H30" s="25" t="s">
        <v>59</v>
      </c>
      <c r="I30" s="17">
        <v>7</v>
      </c>
      <c r="J30" s="17">
        <v>7</v>
      </c>
      <c r="K30" s="17">
        <f t="shared" si="6"/>
        <v>1920</v>
      </c>
      <c r="L30" s="33">
        <f t="shared" si="7"/>
        <v>2909.0060111141302</v>
      </c>
      <c r="M30" s="33">
        <f t="shared" si="8"/>
        <v>4829.0060111141302</v>
      </c>
    </row>
    <row r="31" spans="1:13" ht="20.100000000000001" customHeight="1" x14ac:dyDescent="0.15">
      <c r="A31" s="21" t="s">
        <v>81</v>
      </c>
      <c r="B31" s="2" t="s">
        <v>56</v>
      </c>
      <c r="C31" s="2">
        <v>48</v>
      </c>
      <c r="D31" s="22">
        <v>86.434782608695699</v>
      </c>
      <c r="E31" s="22">
        <v>87.469387755102005</v>
      </c>
      <c r="F31" s="23">
        <f t="shared" si="5"/>
        <v>1.0119697778507799</v>
      </c>
      <c r="G31" s="17">
        <v>4</v>
      </c>
      <c r="H31" s="25" t="s">
        <v>98</v>
      </c>
      <c r="I31" s="17">
        <v>7</v>
      </c>
      <c r="J31" s="17">
        <v>7</v>
      </c>
      <c r="K31" s="17">
        <f t="shared" si="6"/>
        <v>1920</v>
      </c>
      <c r="L31" s="33">
        <f t="shared" si="7"/>
        <v>2895.0415135619501</v>
      </c>
      <c r="M31" s="33">
        <f t="shared" si="8"/>
        <v>4815.0415135619496</v>
      </c>
    </row>
    <row r="32" spans="1:13" ht="20.100000000000001" customHeight="1" x14ac:dyDescent="0.15">
      <c r="A32" s="21" t="s">
        <v>80</v>
      </c>
      <c r="B32" s="2" t="s">
        <v>56</v>
      </c>
      <c r="C32" s="2">
        <v>48</v>
      </c>
      <c r="D32" s="22">
        <v>86.434782608695699</v>
      </c>
      <c r="E32" s="22">
        <v>86.04</v>
      </c>
      <c r="F32" s="23">
        <f t="shared" si="5"/>
        <v>0.99543259557343999</v>
      </c>
      <c r="G32" s="17">
        <v>5</v>
      </c>
      <c r="H32" s="25" t="s">
        <v>60</v>
      </c>
      <c r="I32" s="17">
        <v>7</v>
      </c>
      <c r="J32" s="17">
        <v>7</v>
      </c>
      <c r="K32" s="17">
        <f t="shared" si="6"/>
        <v>1920</v>
      </c>
      <c r="L32" s="33">
        <f t="shared" si="7"/>
        <v>2847.73196908927</v>
      </c>
      <c r="M32" s="33">
        <f t="shared" si="8"/>
        <v>4767.73196908927</v>
      </c>
    </row>
    <row r="33" spans="1:13" ht="20.100000000000001" customHeight="1" x14ac:dyDescent="0.15">
      <c r="A33" s="21" t="s">
        <v>83</v>
      </c>
      <c r="B33" s="2" t="s">
        <v>56</v>
      </c>
      <c r="C33" s="2">
        <v>50</v>
      </c>
      <c r="D33" s="22">
        <v>86.434782608695699</v>
      </c>
      <c r="E33" s="22">
        <v>84.6</v>
      </c>
      <c r="F33" s="23">
        <f t="shared" si="5"/>
        <v>0.97877263581488905</v>
      </c>
      <c r="G33" s="17">
        <v>6</v>
      </c>
      <c r="H33" s="25" t="s">
        <v>62</v>
      </c>
      <c r="I33" s="17">
        <v>7</v>
      </c>
      <c r="J33" s="17">
        <v>7</v>
      </c>
      <c r="K33" s="17">
        <f t="shared" si="6"/>
        <v>1920</v>
      </c>
      <c r="L33" s="33">
        <f t="shared" si="7"/>
        <v>2800.0711829957299</v>
      </c>
      <c r="M33" s="33">
        <f t="shared" si="8"/>
        <v>4720.0711829957299</v>
      </c>
    </row>
    <row r="34" spans="1:13" ht="20.100000000000001" customHeight="1" x14ac:dyDescent="0.15">
      <c r="A34" s="21" t="s">
        <v>85</v>
      </c>
      <c r="B34" s="2" t="s">
        <v>56</v>
      </c>
      <c r="C34" s="2">
        <v>40</v>
      </c>
      <c r="D34" s="22">
        <v>86.434782608695699</v>
      </c>
      <c r="E34" s="22">
        <v>83.447368421052602</v>
      </c>
      <c r="F34" s="23">
        <f t="shared" si="5"/>
        <v>0.96543736100815303</v>
      </c>
      <c r="G34" s="17">
        <v>7</v>
      </c>
      <c r="H34" s="25" t="s">
        <v>57</v>
      </c>
      <c r="I34" s="17">
        <v>7</v>
      </c>
      <c r="J34" s="17">
        <v>7</v>
      </c>
      <c r="K34" s="17">
        <f t="shared" si="6"/>
        <v>1920</v>
      </c>
      <c r="L34" s="33">
        <f t="shared" si="7"/>
        <v>2761.9216502673398</v>
      </c>
      <c r="M34" s="33">
        <f t="shared" si="8"/>
        <v>4681.9216502673398</v>
      </c>
    </row>
    <row r="35" spans="1:13" ht="20.100000000000001" customHeight="1" x14ac:dyDescent="0.15">
      <c r="A35" s="21" t="s">
        <v>84</v>
      </c>
      <c r="B35" s="2" t="s">
        <v>56</v>
      </c>
      <c r="C35" s="2">
        <v>41</v>
      </c>
      <c r="D35" s="22">
        <v>86.434782608695699</v>
      </c>
      <c r="E35" s="22">
        <v>83.3720930232558</v>
      </c>
      <c r="F35" s="23">
        <f t="shared" si="5"/>
        <v>0.96456646857891504</v>
      </c>
      <c r="G35" s="17">
        <v>8</v>
      </c>
      <c r="H35" s="25" t="s">
        <v>99</v>
      </c>
      <c r="I35" s="17">
        <v>7</v>
      </c>
      <c r="J35" s="17">
        <v>7</v>
      </c>
      <c r="K35" s="17">
        <f t="shared" si="6"/>
        <v>1920</v>
      </c>
      <c r="L35" s="33">
        <f t="shared" si="7"/>
        <v>2759.4302026058899</v>
      </c>
      <c r="M35" s="33">
        <f t="shared" si="8"/>
        <v>4679.4302026058804</v>
      </c>
    </row>
    <row r="36" spans="1:13" ht="20.100000000000001" customHeight="1" x14ac:dyDescent="0.15">
      <c r="A36" s="4"/>
      <c r="B36" s="4"/>
      <c r="C36" s="4"/>
      <c r="D36" s="13"/>
      <c r="E36" s="13"/>
      <c r="F36" s="14"/>
      <c r="G36" s="15"/>
      <c r="H36" s="4"/>
      <c r="I36" s="20"/>
      <c r="J36" s="17" t="s">
        <v>20</v>
      </c>
      <c r="K36" s="34">
        <f>SUM(K28:K35)</f>
        <v>15360</v>
      </c>
      <c r="L36" s="34">
        <f>SUM(L28:L35)</f>
        <v>23040</v>
      </c>
      <c r="M36" s="34">
        <f t="shared" si="8"/>
        <v>38400</v>
      </c>
    </row>
    <row r="37" spans="1:13" ht="20.100000000000001" customHeight="1" x14ac:dyDescent="0.15">
      <c r="A37" s="4"/>
      <c r="B37" s="4" t="s">
        <v>2</v>
      </c>
      <c r="C37" s="4" t="s">
        <v>3</v>
      </c>
      <c r="D37" s="7" t="s">
        <v>4</v>
      </c>
      <c r="E37" s="26"/>
      <c r="F37" s="27"/>
      <c r="G37" s="15"/>
      <c r="H37" s="4"/>
      <c r="I37" s="20"/>
      <c r="J37" s="20"/>
      <c r="K37" s="4"/>
      <c r="L37" s="4"/>
      <c r="M37" s="4"/>
    </row>
    <row r="38" spans="1:13" ht="20.100000000000001" customHeight="1" x14ac:dyDescent="0.15">
      <c r="A38" s="16" t="s">
        <v>135</v>
      </c>
      <c r="B38" s="17" t="s">
        <v>6</v>
      </c>
      <c r="C38" s="18">
        <v>14400</v>
      </c>
      <c r="D38" s="19">
        <v>11520</v>
      </c>
      <c r="E38" s="4"/>
      <c r="F38" s="4"/>
      <c r="G38" s="20"/>
      <c r="H38" s="20"/>
      <c r="I38" s="31" t="s">
        <v>22</v>
      </c>
      <c r="J38" s="30"/>
      <c r="K38" s="17"/>
      <c r="L38" s="17"/>
      <c r="M38" s="17"/>
    </row>
    <row r="39" spans="1:13" ht="20.100000000000001" customHeight="1" x14ac:dyDescent="0.15">
      <c r="A39" s="17" t="s">
        <v>23</v>
      </c>
      <c r="B39" s="17" t="s">
        <v>1</v>
      </c>
      <c r="C39" s="17" t="s">
        <v>24</v>
      </c>
      <c r="D39" s="17" t="s">
        <v>25</v>
      </c>
      <c r="E39" s="17" t="s">
        <v>26</v>
      </c>
      <c r="F39" s="17" t="s">
        <v>27</v>
      </c>
      <c r="G39" s="17" t="s">
        <v>28</v>
      </c>
      <c r="H39" s="17" t="s">
        <v>29</v>
      </c>
      <c r="I39" s="32" t="s">
        <v>30</v>
      </c>
      <c r="J39" s="32" t="s">
        <v>31</v>
      </c>
      <c r="K39" s="17" t="s">
        <v>32</v>
      </c>
      <c r="L39" s="17" t="s">
        <v>33</v>
      </c>
      <c r="M39" s="17" t="s">
        <v>20</v>
      </c>
    </row>
    <row r="40" spans="1:13" ht="20.100000000000001" customHeight="1" x14ac:dyDescent="0.15">
      <c r="A40" s="21" t="s">
        <v>121</v>
      </c>
      <c r="B40" s="2" t="s">
        <v>107</v>
      </c>
      <c r="C40" s="2">
        <v>50</v>
      </c>
      <c r="D40" s="22">
        <v>74.300937500000003</v>
      </c>
      <c r="E40" s="22">
        <v>80.097999999999999</v>
      </c>
      <c r="F40" s="23">
        <f t="shared" ref="F40:F42" si="9">E40/D40</f>
        <v>1.0780213910490699</v>
      </c>
      <c r="G40" s="24">
        <v>1</v>
      </c>
      <c r="H40" s="25" t="s">
        <v>108</v>
      </c>
      <c r="I40" s="17">
        <v>6</v>
      </c>
      <c r="J40" s="17">
        <v>6</v>
      </c>
      <c r="K40" s="17">
        <f t="shared" ref="K40:K42" si="10">$D$38*0.4*SUM(I40:J40)/SUM($I$40:$J$42)</f>
        <v>1536</v>
      </c>
      <c r="L40" s="33">
        <f t="shared" ref="L40:L42" si="11">$D$38*0.6*0.7*E40/SUM($E$40:$E$42)+$D$38*0.6*0.3*F40/SUM($F$40:$F$42)</f>
        <v>2411.38029619492</v>
      </c>
      <c r="M40" s="33">
        <f t="shared" ref="M40:M43" si="12">SUM(K40:L40)</f>
        <v>3947.38029619492</v>
      </c>
    </row>
    <row r="41" spans="1:13" ht="20.100000000000001" customHeight="1" x14ac:dyDescent="0.15">
      <c r="A41" s="21" t="s">
        <v>94</v>
      </c>
      <c r="B41" s="2" t="s">
        <v>107</v>
      </c>
      <c r="C41" s="2">
        <v>41</v>
      </c>
      <c r="D41" s="22">
        <v>74.300937500000003</v>
      </c>
      <c r="E41" s="22">
        <v>77.615555555555602</v>
      </c>
      <c r="F41" s="23">
        <f t="shared" si="9"/>
        <v>1.0446107164604199</v>
      </c>
      <c r="G41" s="24">
        <v>2</v>
      </c>
      <c r="H41" s="25" t="s">
        <v>122</v>
      </c>
      <c r="I41" s="17">
        <v>6</v>
      </c>
      <c r="J41" s="17">
        <v>6</v>
      </c>
      <c r="K41" s="17">
        <f t="shared" si="10"/>
        <v>1536</v>
      </c>
      <c r="L41" s="33">
        <f t="shared" si="11"/>
        <v>2336.6453762252299</v>
      </c>
      <c r="M41" s="33">
        <f t="shared" si="12"/>
        <v>3872.6453762252299</v>
      </c>
    </row>
    <row r="42" spans="1:13" ht="20.100000000000001" customHeight="1" x14ac:dyDescent="0.15">
      <c r="A42" s="21" t="s">
        <v>123</v>
      </c>
      <c r="B42" s="2" t="s">
        <v>107</v>
      </c>
      <c r="C42" s="2">
        <v>48</v>
      </c>
      <c r="D42" s="22">
        <v>74.300937500000003</v>
      </c>
      <c r="E42" s="22">
        <v>71.88</v>
      </c>
      <c r="F42" s="23">
        <f t="shared" si="9"/>
        <v>0.96741713386859995</v>
      </c>
      <c r="G42" s="24">
        <v>3</v>
      </c>
      <c r="H42" s="25" t="s">
        <v>124</v>
      </c>
      <c r="I42" s="17">
        <v>6</v>
      </c>
      <c r="J42" s="17">
        <v>6</v>
      </c>
      <c r="K42" s="17">
        <f t="shared" si="10"/>
        <v>1536</v>
      </c>
      <c r="L42" s="33">
        <f t="shared" si="11"/>
        <v>2163.9743275798501</v>
      </c>
      <c r="M42" s="33">
        <f t="shared" si="12"/>
        <v>3699.9743275798501</v>
      </c>
    </row>
    <row r="43" spans="1:13" ht="20.100000000000001" customHeight="1" x14ac:dyDescent="0.15">
      <c r="A43" s="4"/>
      <c r="B43" s="4"/>
      <c r="C43" s="20"/>
      <c r="D43" s="4"/>
      <c r="E43" s="20"/>
      <c r="F43" s="20"/>
      <c r="G43" s="20"/>
      <c r="H43" s="20"/>
      <c r="I43" s="20"/>
      <c r="J43" s="17" t="s">
        <v>20</v>
      </c>
      <c r="K43" s="34">
        <f>SUM(K40:K42)</f>
        <v>4608</v>
      </c>
      <c r="L43" s="34">
        <f>SUM(L40:L42)</f>
        <v>6912</v>
      </c>
      <c r="M43" s="34">
        <f t="shared" si="12"/>
        <v>11520</v>
      </c>
    </row>
    <row r="44" spans="1:13" ht="20.100000000000001" customHeight="1" x14ac:dyDescent="0.15">
      <c r="A44" s="4"/>
      <c r="B44" s="4" t="s">
        <v>2</v>
      </c>
      <c r="C44" s="4" t="s">
        <v>3</v>
      </c>
      <c r="D44" s="7" t="s">
        <v>4</v>
      </c>
      <c r="E44" s="20"/>
      <c r="F44" s="20"/>
      <c r="G44" s="20"/>
      <c r="H44" s="20"/>
      <c r="I44" s="20"/>
      <c r="J44" s="20"/>
      <c r="K44" s="4"/>
      <c r="L44" s="4"/>
      <c r="M44" s="4"/>
    </row>
    <row r="45" spans="1:13" ht="20.100000000000001" customHeight="1" x14ac:dyDescent="0.15">
      <c r="A45" s="29" t="s">
        <v>136</v>
      </c>
      <c r="B45" s="18" t="s">
        <v>11</v>
      </c>
      <c r="C45" s="18">
        <f>4000*7</f>
        <v>28000</v>
      </c>
      <c r="D45" s="19">
        <f>C45*0.8</f>
        <v>22400</v>
      </c>
      <c r="E45" s="20"/>
      <c r="F45" s="20"/>
      <c r="G45" s="20"/>
      <c r="H45" s="20"/>
      <c r="I45" s="80" t="s">
        <v>22</v>
      </c>
      <c r="J45" s="81"/>
      <c r="K45" s="17"/>
      <c r="L45" s="17"/>
      <c r="M45" s="17"/>
    </row>
    <row r="46" spans="1:13" ht="20.100000000000001" customHeight="1" x14ac:dyDescent="0.15">
      <c r="A46" s="17" t="s">
        <v>23</v>
      </c>
      <c r="B46" s="17" t="s">
        <v>1</v>
      </c>
      <c r="C46" s="17" t="s">
        <v>24</v>
      </c>
      <c r="D46" s="17" t="s">
        <v>25</v>
      </c>
      <c r="E46" s="17" t="s">
        <v>26</v>
      </c>
      <c r="F46" s="17" t="s">
        <v>27</v>
      </c>
      <c r="G46" s="17" t="s">
        <v>28</v>
      </c>
      <c r="H46" s="17" t="s">
        <v>29</v>
      </c>
      <c r="I46" s="32" t="s">
        <v>30</v>
      </c>
      <c r="J46" s="32" t="s">
        <v>31</v>
      </c>
      <c r="K46" s="17" t="s">
        <v>32</v>
      </c>
      <c r="L46" s="17" t="s">
        <v>33</v>
      </c>
      <c r="M46" s="17" t="s">
        <v>20</v>
      </c>
    </row>
    <row r="47" spans="1:13" ht="20.100000000000001" customHeight="1" x14ac:dyDescent="0.15">
      <c r="A47" s="21" t="s">
        <v>34</v>
      </c>
      <c r="B47" s="2" t="s">
        <v>35</v>
      </c>
      <c r="C47" s="2">
        <v>43</v>
      </c>
      <c r="D47" s="22">
        <v>55.6490683229814</v>
      </c>
      <c r="E47" s="22">
        <v>53.625</v>
      </c>
      <c r="F47" s="23">
        <f t="shared" ref="F47:F53" si="13">E47/D47</f>
        <v>0.96362799263351695</v>
      </c>
      <c r="G47" s="17">
        <v>1</v>
      </c>
      <c r="H47" s="25" t="s">
        <v>36</v>
      </c>
      <c r="I47" s="17">
        <v>7</v>
      </c>
      <c r="J47" s="17">
        <v>7</v>
      </c>
      <c r="K47" s="17">
        <f t="shared" ref="K47:K53" si="14">$D$45*0.4*SUM(I47:J47)/SUM($I$47:$J$53)</f>
        <v>1280</v>
      </c>
      <c r="L47" s="33">
        <f t="shared" ref="L47:L53" si="15">$D$45*0.6*0.7*E47/SUM($E$47:$E$53)+$D$45*0.6*0.3*F47/SUM($F$47:$F$53)</f>
        <v>2242.0470339851299</v>
      </c>
      <c r="M47" s="33">
        <f t="shared" ref="M47:M54" si="16">SUM(K47:L47)</f>
        <v>3522.0470339851299</v>
      </c>
    </row>
    <row r="48" spans="1:13" ht="20.100000000000001" customHeight="1" x14ac:dyDescent="0.15">
      <c r="A48" s="21" t="s">
        <v>37</v>
      </c>
      <c r="B48" s="2" t="s">
        <v>35</v>
      </c>
      <c r="C48" s="2">
        <v>40</v>
      </c>
      <c r="D48" s="22">
        <v>55.6490683229814</v>
      </c>
      <c r="E48" s="22">
        <v>51.903225806451601</v>
      </c>
      <c r="F48" s="23">
        <f t="shared" si="13"/>
        <v>0.93268813603869705</v>
      </c>
      <c r="G48" s="17">
        <v>2</v>
      </c>
      <c r="H48" s="25" t="s">
        <v>36</v>
      </c>
      <c r="I48" s="17">
        <v>7</v>
      </c>
      <c r="J48" s="17">
        <v>7</v>
      </c>
      <c r="K48" s="17">
        <f t="shared" si="14"/>
        <v>1280</v>
      </c>
      <c r="L48" s="33">
        <f t="shared" si="15"/>
        <v>2170.0601113960902</v>
      </c>
      <c r="M48" s="33">
        <f t="shared" si="16"/>
        <v>3450.0601113960902</v>
      </c>
    </row>
    <row r="49" spans="1:13" ht="20.100000000000001" customHeight="1" x14ac:dyDescent="0.15">
      <c r="A49" s="21" t="s">
        <v>38</v>
      </c>
      <c r="B49" s="2" t="s">
        <v>35</v>
      </c>
      <c r="C49" s="2">
        <v>40</v>
      </c>
      <c r="D49" s="22">
        <v>55.6490683229814</v>
      </c>
      <c r="E49" s="22">
        <v>45.804347826087003</v>
      </c>
      <c r="F49" s="23">
        <f t="shared" si="13"/>
        <v>0.82309280651822103</v>
      </c>
      <c r="G49" s="17">
        <v>3</v>
      </c>
      <c r="H49" s="25" t="s">
        <v>39</v>
      </c>
      <c r="I49" s="17">
        <v>7</v>
      </c>
      <c r="J49" s="17">
        <v>7</v>
      </c>
      <c r="K49" s="17">
        <f t="shared" si="14"/>
        <v>1280</v>
      </c>
      <c r="L49" s="33">
        <f t="shared" si="15"/>
        <v>1915.06763985271</v>
      </c>
      <c r="M49" s="33">
        <f t="shared" si="16"/>
        <v>3195.0676398527098</v>
      </c>
    </row>
    <row r="50" spans="1:13" ht="20.100000000000001" customHeight="1" x14ac:dyDescent="0.15">
      <c r="A50" s="21" t="s">
        <v>40</v>
      </c>
      <c r="B50" s="2" t="s">
        <v>35</v>
      </c>
      <c r="C50" s="2">
        <v>45</v>
      </c>
      <c r="D50" s="22">
        <v>55.6490683229814</v>
      </c>
      <c r="E50" s="22">
        <v>44.8333333333333</v>
      </c>
      <c r="F50" s="23">
        <f t="shared" si="13"/>
        <v>0.80564391614115305</v>
      </c>
      <c r="G50" s="17">
        <v>4</v>
      </c>
      <c r="H50" s="25" t="s">
        <v>41</v>
      </c>
      <c r="I50" s="35">
        <v>7</v>
      </c>
      <c r="J50" s="17">
        <v>7</v>
      </c>
      <c r="K50" s="17">
        <f t="shared" si="14"/>
        <v>1280</v>
      </c>
      <c r="L50" s="33">
        <f t="shared" si="15"/>
        <v>1874.46978132712</v>
      </c>
      <c r="M50" s="33">
        <f t="shared" si="16"/>
        <v>3154.46978132712</v>
      </c>
    </row>
    <row r="51" spans="1:13" ht="20.100000000000001" customHeight="1" x14ac:dyDescent="0.15">
      <c r="A51" s="21" t="s">
        <v>42</v>
      </c>
      <c r="B51" s="2" t="s">
        <v>35</v>
      </c>
      <c r="C51" s="2">
        <v>44</v>
      </c>
      <c r="D51" s="22">
        <v>55.6490683229814</v>
      </c>
      <c r="E51" s="22">
        <v>43.8</v>
      </c>
      <c r="F51" s="23">
        <f t="shared" si="13"/>
        <v>0.78707517160555795</v>
      </c>
      <c r="G51" s="17">
        <v>5</v>
      </c>
      <c r="H51" s="25" t="s">
        <v>43</v>
      </c>
      <c r="I51" s="17">
        <v>7</v>
      </c>
      <c r="J51" s="17">
        <v>7</v>
      </c>
      <c r="K51" s="17">
        <f t="shared" si="14"/>
        <v>1280</v>
      </c>
      <c r="L51" s="33">
        <f t="shared" si="15"/>
        <v>1831.2663885976499</v>
      </c>
      <c r="M51" s="33">
        <f t="shared" si="16"/>
        <v>3111.2663885976499</v>
      </c>
    </row>
    <row r="52" spans="1:13" ht="20.100000000000001" customHeight="1" x14ac:dyDescent="0.15">
      <c r="A52" s="21" t="s">
        <v>44</v>
      </c>
      <c r="B52" s="2" t="s">
        <v>35</v>
      </c>
      <c r="C52" s="2">
        <v>41</v>
      </c>
      <c r="D52" s="22">
        <v>55.6490683229814</v>
      </c>
      <c r="E52" s="22">
        <v>42.808510638297903</v>
      </c>
      <c r="F52" s="23">
        <f t="shared" si="13"/>
        <v>0.76925835289535804</v>
      </c>
      <c r="G52" s="17">
        <v>6</v>
      </c>
      <c r="H52" s="25" t="s">
        <v>45</v>
      </c>
      <c r="I52" s="17">
        <v>7</v>
      </c>
      <c r="J52" s="17">
        <v>7</v>
      </c>
      <c r="K52" s="17">
        <f t="shared" si="14"/>
        <v>1280</v>
      </c>
      <c r="L52" s="33">
        <f t="shared" si="15"/>
        <v>1789.8124812292201</v>
      </c>
      <c r="M52" s="33">
        <f t="shared" si="16"/>
        <v>3069.8124812292199</v>
      </c>
    </row>
    <row r="53" spans="1:13" ht="20.100000000000001" customHeight="1" x14ac:dyDescent="0.15">
      <c r="A53" s="21" t="s">
        <v>46</v>
      </c>
      <c r="B53" s="2" t="s">
        <v>35</v>
      </c>
      <c r="C53" s="2">
        <v>48</v>
      </c>
      <c r="D53" s="22">
        <v>55.6490683229814</v>
      </c>
      <c r="E53" s="22">
        <v>38.681818181818201</v>
      </c>
      <c r="F53" s="23">
        <f t="shared" si="13"/>
        <v>0.69510270966825505</v>
      </c>
      <c r="G53" s="17">
        <v>7</v>
      </c>
      <c r="H53" s="25" t="s">
        <v>47</v>
      </c>
      <c r="I53" s="17">
        <v>7</v>
      </c>
      <c r="J53" s="17">
        <v>7</v>
      </c>
      <c r="K53" s="17">
        <f t="shared" si="14"/>
        <v>1280</v>
      </c>
      <c r="L53" s="33">
        <f t="shared" si="15"/>
        <v>1617.2765636120801</v>
      </c>
      <c r="M53" s="33">
        <f t="shared" si="16"/>
        <v>2897.2765636120798</v>
      </c>
    </row>
    <row r="54" spans="1:13" ht="20.100000000000001" customHeight="1" x14ac:dyDescent="0.15">
      <c r="A54" s="4"/>
      <c r="B54" s="4"/>
      <c r="C54" s="4"/>
      <c r="D54" s="13"/>
      <c r="E54" s="13"/>
      <c r="F54" s="14"/>
      <c r="G54" s="15"/>
      <c r="H54" s="4"/>
      <c r="I54" s="20"/>
      <c r="J54" s="17" t="s">
        <v>20</v>
      </c>
      <c r="K54" s="36">
        <f>SUM(K47:K53)</f>
        <v>8960</v>
      </c>
      <c r="L54" s="36">
        <f>SUM(L47:L53)</f>
        <v>13440</v>
      </c>
      <c r="M54" s="34">
        <f t="shared" si="16"/>
        <v>22400</v>
      </c>
    </row>
    <row r="55" spans="1:13" ht="20.100000000000001" customHeight="1" x14ac:dyDescent="0.15">
      <c r="A55" s="30"/>
      <c r="B55" s="4" t="s">
        <v>2</v>
      </c>
      <c r="C55" s="4" t="s">
        <v>3</v>
      </c>
      <c r="D55" s="4" t="s">
        <v>4</v>
      </c>
      <c r="E55" s="13"/>
      <c r="F55" s="27"/>
      <c r="G55" s="4"/>
      <c r="H55" s="4"/>
      <c r="I55" s="20"/>
      <c r="J55" s="20"/>
      <c r="K55" s="4"/>
      <c r="L55" s="4"/>
      <c r="M55" s="4"/>
    </row>
    <row r="56" spans="1:13" ht="20.100000000000001" customHeight="1" x14ac:dyDescent="0.15">
      <c r="A56" s="16" t="s">
        <v>137</v>
      </c>
      <c r="B56" s="18" t="s">
        <v>18</v>
      </c>
      <c r="C56" s="18">
        <f>2000*7</f>
        <v>14000</v>
      </c>
      <c r="D56" s="19">
        <f>C56*0.8</f>
        <v>11200</v>
      </c>
      <c r="E56" s="4" t="s">
        <v>55</v>
      </c>
      <c r="F56" s="4"/>
      <c r="G56" s="4" t="s">
        <v>55</v>
      </c>
      <c r="H56" s="20"/>
      <c r="I56" s="80" t="s">
        <v>22</v>
      </c>
      <c r="J56" s="81"/>
      <c r="K56" s="17"/>
      <c r="L56" s="17"/>
      <c r="M56" s="17"/>
    </row>
    <row r="57" spans="1:13" ht="20.100000000000001" customHeight="1" x14ac:dyDescent="0.15">
      <c r="A57" s="17" t="s">
        <v>23</v>
      </c>
      <c r="B57" s="17" t="s">
        <v>1</v>
      </c>
      <c r="C57" s="17" t="s">
        <v>24</v>
      </c>
      <c r="D57" s="17" t="s">
        <v>25</v>
      </c>
      <c r="E57" s="17" t="s">
        <v>26</v>
      </c>
      <c r="F57" s="17" t="s">
        <v>27</v>
      </c>
      <c r="G57" s="17" t="s">
        <v>28</v>
      </c>
      <c r="H57" s="17" t="s">
        <v>29</v>
      </c>
      <c r="I57" s="32" t="s">
        <v>30</v>
      </c>
      <c r="J57" s="32" t="s">
        <v>31</v>
      </c>
      <c r="K57" s="17" t="s">
        <v>32</v>
      </c>
      <c r="L57" s="17" t="s">
        <v>33</v>
      </c>
      <c r="M57" s="17" t="s">
        <v>20</v>
      </c>
    </row>
    <row r="58" spans="1:13" ht="20.100000000000001" customHeight="1" x14ac:dyDescent="0.15">
      <c r="A58" s="21" t="s">
        <v>34</v>
      </c>
      <c r="B58" s="2" t="s">
        <v>56</v>
      </c>
      <c r="C58" s="2">
        <v>44</v>
      </c>
      <c r="D58" s="22">
        <v>86.434782608695699</v>
      </c>
      <c r="E58" s="22">
        <v>90.6</v>
      </c>
      <c r="F58" s="23">
        <f t="shared" ref="F58:F64" si="17">E58/D58</f>
        <v>1.0481891348088499</v>
      </c>
      <c r="G58" s="17">
        <v>1</v>
      </c>
      <c r="H58" s="25" t="s">
        <v>57</v>
      </c>
      <c r="I58" s="17">
        <v>6</v>
      </c>
      <c r="J58" s="17">
        <v>5</v>
      </c>
      <c r="K58" s="17">
        <f t="shared" ref="K58:K64" si="18">$D$56*0.4*SUM(I58:J58)/SUM($I$58:$J$64)</f>
        <v>640</v>
      </c>
      <c r="L58" s="33">
        <f t="shared" ref="L58:L64" si="19">$D$56*0.6*0.7*E58/SUM($E$58:$E$64)+$D$56*0.6*0.3*F58/SUM($F$58:$F$64)</f>
        <v>1018.868882128</v>
      </c>
      <c r="M58" s="33">
        <f t="shared" ref="M58:M65" si="20">SUM(K58:L58)</f>
        <v>1658.868882128</v>
      </c>
    </row>
    <row r="59" spans="1:13" ht="20.100000000000001" customHeight="1" x14ac:dyDescent="0.15">
      <c r="A59" s="21" t="s">
        <v>46</v>
      </c>
      <c r="B59" s="2" t="s">
        <v>56</v>
      </c>
      <c r="C59" s="2">
        <v>45</v>
      </c>
      <c r="D59" s="22">
        <v>86.434782608695699</v>
      </c>
      <c r="E59" s="22">
        <v>87.840909090909093</v>
      </c>
      <c r="F59" s="23">
        <f t="shared" si="17"/>
        <v>1.0162680629229901</v>
      </c>
      <c r="G59" s="17">
        <v>2</v>
      </c>
      <c r="H59" s="25" t="s">
        <v>58</v>
      </c>
      <c r="I59" s="17">
        <v>6</v>
      </c>
      <c r="J59" s="17">
        <v>5</v>
      </c>
      <c r="K59" s="17">
        <f t="shared" si="18"/>
        <v>640</v>
      </c>
      <c r="L59" s="33">
        <f t="shared" si="19"/>
        <v>987.84071578986902</v>
      </c>
      <c r="M59" s="33">
        <f t="shared" si="20"/>
        <v>1627.84071578987</v>
      </c>
    </row>
    <row r="60" spans="1:13" ht="20.100000000000001" customHeight="1" x14ac:dyDescent="0.15">
      <c r="A60" s="21" t="s">
        <v>42</v>
      </c>
      <c r="B60" s="2" t="s">
        <v>56</v>
      </c>
      <c r="C60" s="2">
        <v>40</v>
      </c>
      <c r="D60" s="22">
        <v>86.434782608695699</v>
      </c>
      <c r="E60" s="22">
        <v>86.7</v>
      </c>
      <c r="F60" s="23">
        <f t="shared" si="17"/>
        <v>1.0030684104627801</v>
      </c>
      <c r="G60" s="17">
        <v>3</v>
      </c>
      <c r="H60" s="25" t="s">
        <v>59</v>
      </c>
      <c r="I60" s="17">
        <v>6</v>
      </c>
      <c r="J60" s="17">
        <v>5</v>
      </c>
      <c r="K60" s="17">
        <f t="shared" si="18"/>
        <v>640</v>
      </c>
      <c r="L60" s="33">
        <f t="shared" si="19"/>
        <v>975.010287864215</v>
      </c>
      <c r="M60" s="33">
        <f t="shared" si="20"/>
        <v>1615.0102878642199</v>
      </c>
    </row>
    <row r="61" spans="1:13" ht="20.100000000000001" customHeight="1" x14ac:dyDescent="0.15">
      <c r="A61" s="21" t="s">
        <v>38</v>
      </c>
      <c r="B61" s="2" t="s">
        <v>56</v>
      </c>
      <c r="C61" s="2">
        <v>48</v>
      </c>
      <c r="D61" s="22">
        <v>86.434782608695699</v>
      </c>
      <c r="E61" s="22">
        <v>86.152173913043498</v>
      </c>
      <c r="F61" s="23">
        <f t="shared" si="17"/>
        <v>0.99673038229376199</v>
      </c>
      <c r="G61" s="17">
        <v>4</v>
      </c>
      <c r="H61" s="25" t="s">
        <v>58</v>
      </c>
      <c r="I61" s="17">
        <v>6</v>
      </c>
      <c r="J61" s="17">
        <v>5</v>
      </c>
      <c r="K61" s="17">
        <f t="shared" si="18"/>
        <v>640</v>
      </c>
      <c r="L61" s="33">
        <f t="shared" si="19"/>
        <v>968.84954887063998</v>
      </c>
      <c r="M61" s="33">
        <f t="shared" si="20"/>
        <v>1608.8495488706401</v>
      </c>
    </row>
    <row r="62" spans="1:13" ht="20.100000000000001" customHeight="1" x14ac:dyDescent="0.15">
      <c r="A62" s="21" t="s">
        <v>44</v>
      </c>
      <c r="B62" s="2" t="s">
        <v>56</v>
      </c>
      <c r="C62" s="2">
        <v>48</v>
      </c>
      <c r="D62" s="22">
        <v>86.434782608695699</v>
      </c>
      <c r="E62" s="22">
        <v>84.893617021276597</v>
      </c>
      <c r="F62" s="23">
        <f t="shared" si="17"/>
        <v>0.98216961342523201</v>
      </c>
      <c r="G62" s="17">
        <v>5</v>
      </c>
      <c r="H62" s="25" t="s">
        <v>60</v>
      </c>
      <c r="I62" s="17">
        <v>6</v>
      </c>
      <c r="J62" s="17">
        <v>5</v>
      </c>
      <c r="K62" s="17">
        <f t="shared" si="18"/>
        <v>640</v>
      </c>
      <c r="L62" s="33">
        <f t="shared" si="19"/>
        <v>954.69607808246099</v>
      </c>
      <c r="M62" s="33">
        <f t="shared" si="20"/>
        <v>1594.69607808246</v>
      </c>
    </row>
    <row r="63" spans="1:13" ht="20.100000000000001" customHeight="1" x14ac:dyDescent="0.15">
      <c r="A63" s="21" t="s">
        <v>40</v>
      </c>
      <c r="B63" s="2" t="s">
        <v>56</v>
      </c>
      <c r="C63" s="2">
        <v>48</v>
      </c>
      <c r="D63" s="22">
        <v>86.434782608695699</v>
      </c>
      <c r="E63" s="22">
        <v>82.3055555555556</v>
      </c>
      <c r="F63" s="23">
        <f t="shared" si="17"/>
        <v>0.95222725240330897</v>
      </c>
      <c r="G63" s="17">
        <v>6</v>
      </c>
      <c r="H63" s="25" t="s">
        <v>61</v>
      </c>
      <c r="I63" s="17">
        <v>6</v>
      </c>
      <c r="J63" s="17">
        <v>5</v>
      </c>
      <c r="K63" s="17">
        <f t="shared" si="18"/>
        <v>640</v>
      </c>
      <c r="L63" s="33">
        <f t="shared" si="19"/>
        <v>925.59127352994699</v>
      </c>
      <c r="M63" s="33">
        <f t="shared" si="20"/>
        <v>1565.5912735299501</v>
      </c>
    </row>
    <row r="64" spans="1:13" ht="20.100000000000001" customHeight="1" x14ac:dyDescent="0.15">
      <c r="A64" s="21" t="s">
        <v>37</v>
      </c>
      <c r="B64" s="2" t="s">
        <v>56</v>
      </c>
      <c r="C64" s="2">
        <v>43</v>
      </c>
      <c r="D64" s="22">
        <v>86.434782608695699</v>
      </c>
      <c r="E64" s="22">
        <v>79.064516129032299</v>
      </c>
      <c r="F64" s="23">
        <f t="shared" si="17"/>
        <v>0.91473031738819999</v>
      </c>
      <c r="G64" s="17">
        <v>7</v>
      </c>
      <c r="H64" s="25" t="s">
        <v>62</v>
      </c>
      <c r="I64" s="17">
        <v>6</v>
      </c>
      <c r="J64" s="17">
        <v>5</v>
      </c>
      <c r="K64" s="17">
        <f t="shared" si="18"/>
        <v>640</v>
      </c>
      <c r="L64" s="33">
        <f t="shared" si="19"/>
        <v>889.14321373486405</v>
      </c>
      <c r="M64" s="33">
        <f t="shared" si="20"/>
        <v>1529.14321373486</v>
      </c>
    </row>
    <row r="65" spans="1:13" ht="20.100000000000001" customHeight="1" x14ac:dyDescent="0.15">
      <c r="A65" s="4"/>
      <c r="B65" s="4"/>
      <c r="C65" s="4"/>
      <c r="D65" s="13"/>
      <c r="E65" s="13"/>
      <c r="F65" s="14"/>
      <c r="G65" s="15"/>
      <c r="H65" s="4"/>
      <c r="I65" s="20"/>
      <c r="J65" s="17" t="s">
        <v>20</v>
      </c>
      <c r="K65" s="36">
        <f>SUM(K58:K64)</f>
        <v>4480</v>
      </c>
      <c r="L65" s="36">
        <f>SUM(L58:L64)</f>
        <v>6720</v>
      </c>
      <c r="M65" s="17">
        <f t="shared" si="20"/>
        <v>11200</v>
      </c>
    </row>
    <row r="66" spans="1:13" ht="20.100000000000001" customHeight="1" x14ac:dyDescent="0.15">
      <c r="A66" s="4"/>
      <c r="B66" s="4" t="s">
        <v>2</v>
      </c>
      <c r="C66" s="4" t="s">
        <v>3</v>
      </c>
      <c r="D66" s="4" t="s">
        <v>4</v>
      </c>
      <c r="E66" s="13"/>
      <c r="F66" s="14"/>
      <c r="G66" s="15"/>
      <c r="H66" s="4"/>
      <c r="I66" s="20"/>
      <c r="J66" s="20"/>
      <c r="K66" s="4"/>
      <c r="L66" s="4"/>
      <c r="M66" s="4"/>
    </row>
    <row r="67" spans="1:13" ht="20.100000000000001" customHeight="1" x14ac:dyDescent="0.15">
      <c r="A67" s="16" t="s">
        <v>138</v>
      </c>
      <c r="B67" s="18" t="s">
        <v>18</v>
      </c>
      <c r="C67" s="18">
        <f>2000*0.6*7</f>
        <v>8400</v>
      </c>
      <c r="D67" s="19">
        <f>C67*0.8</f>
        <v>6720</v>
      </c>
      <c r="E67" s="13"/>
      <c r="F67" s="27"/>
      <c r="G67" s="4"/>
      <c r="H67" s="4"/>
      <c r="I67" s="80" t="s">
        <v>22</v>
      </c>
      <c r="J67" s="81"/>
      <c r="K67" s="17"/>
      <c r="L67" s="17"/>
      <c r="M67" s="17"/>
    </row>
    <row r="68" spans="1:13" ht="20.100000000000001" customHeight="1" x14ac:dyDescent="0.15">
      <c r="A68" s="17" t="s">
        <v>23</v>
      </c>
      <c r="B68" s="17" t="s">
        <v>1</v>
      </c>
      <c r="C68" s="17" t="s">
        <v>24</v>
      </c>
      <c r="D68" s="17" t="s">
        <v>25</v>
      </c>
      <c r="E68" s="17" t="s">
        <v>26</v>
      </c>
      <c r="F68" s="17" t="s">
        <v>27</v>
      </c>
      <c r="G68" s="17" t="s">
        <v>28</v>
      </c>
      <c r="H68" s="17" t="s">
        <v>29</v>
      </c>
      <c r="I68" s="32" t="s">
        <v>30</v>
      </c>
      <c r="J68" s="32" t="s">
        <v>31</v>
      </c>
      <c r="K68" s="17" t="s">
        <v>32</v>
      </c>
      <c r="L68" s="17" t="s">
        <v>33</v>
      </c>
      <c r="M68" s="17" t="s">
        <v>20</v>
      </c>
    </row>
    <row r="69" spans="1:13" ht="20.100000000000001" customHeight="1" x14ac:dyDescent="0.15">
      <c r="A69" s="21" t="s">
        <v>64</v>
      </c>
      <c r="B69" s="2" t="s">
        <v>65</v>
      </c>
      <c r="C69" s="2">
        <v>41</v>
      </c>
      <c r="D69" s="22">
        <v>73.749719101123603</v>
      </c>
      <c r="E69" s="22">
        <v>81.537499999999994</v>
      </c>
      <c r="F69" s="37">
        <f t="shared" ref="F69:F75" si="21">E69/D69</f>
        <v>1.1055974313366299</v>
      </c>
      <c r="G69" s="24">
        <v>1</v>
      </c>
      <c r="H69" s="25" t="s">
        <v>66</v>
      </c>
      <c r="I69" s="17">
        <v>6</v>
      </c>
      <c r="J69" s="17">
        <v>5</v>
      </c>
      <c r="K69" s="17">
        <f t="shared" ref="K69:K75" si="22">$D$67*0.4*SUM(I69:J69)/SUM($I$69:$J$75)</f>
        <v>384</v>
      </c>
      <c r="L69" s="33">
        <f t="shared" ref="L69:L75" si="23">$D$67*0.6*0.7*E69/SUM($E$69:$E$75)+$D$67*0.6*0.3*F69/SUM($F$69:$F$75)</f>
        <v>631.88010517571001</v>
      </c>
      <c r="M69" s="33">
        <f t="shared" ref="M69:M76" si="24">SUM(K69:L69)</f>
        <v>1015.88010517571</v>
      </c>
    </row>
    <row r="70" spans="1:13" ht="20.100000000000001" customHeight="1" x14ac:dyDescent="0.15">
      <c r="A70" s="21" t="s">
        <v>67</v>
      </c>
      <c r="B70" s="2" t="s">
        <v>65</v>
      </c>
      <c r="C70" s="2">
        <v>44</v>
      </c>
      <c r="D70" s="22">
        <v>73.749719101123603</v>
      </c>
      <c r="E70" s="22">
        <v>77.502127659574498</v>
      </c>
      <c r="F70" s="37">
        <f t="shared" si="21"/>
        <v>1.05088030983963</v>
      </c>
      <c r="G70" s="24">
        <v>2</v>
      </c>
      <c r="H70" s="25" t="s">
        <v>68</v>
      </c>
      <c r="I70" s="17">
        <v>6</v>
      </c>
      <c r="J70" s="17">
        <v>5</v>
      </c>
      <c r="K70" s="17">
        <f t="shared" si="22"/>
        <v>384</v>
      </c>
      <c r="L70" s="33">
        <f t="shared" si="23"/>
        <v>600.60772744900498</v>
      </c>
      <c r="M70" s="33">
        <f t="shared" si="24"/>
        <v>984.60772744900498</v>
      </c>
    </row>
    <row r="71" spans="1:13" ht="20.100000000000001" customHeight="1" x14ac:dyDescent="0.15">
      <c r="A71" s="21" t="s">
        <v>52</v>
      </c>
      <c r="B71" s="2" t="s">
        <v>65</v>
      </c>
      <c r="C71" s="17">
        <v>40</v>
      </c>
      <c r="D71" s="22">
        <v>73.749719101123603</v>
      </c>
      <c r="E71" s="3">
        <v>76.822727272727207</v>
      </c>
      <c r="F71" s="37">
        <f t="shared" si="21"/>
        <v>1.04166806611683</v>
      </c>
      <c r="G71" s="24">
        <v>3</v>
      </c>
      <c r="H71" s="17" t="s">
        <v>68</v>
      </c>
      <c r="I71" s="17">
        <v>6</v>
      </c>
      <c r="J71" s="17">
        <v>5</v>
      </c>
      <c r="K71" s="17">
        <f t="shared" si="22"/>
        <v>384</v>
      </c>
      <c r="L71" s="33">
        <f t="shared" si="23"/>
        <v>595.34267041515602</v>
      </c>
      <c r="M71" s="33">
        <f t="shared" si="24"/>
        <v>979.34267041515602</v>
      </c>
    </row>
    <row r="72" spans="1:13" ht="20.100000000000001" customHeight="1" x14ac:dyDescent="0.15">
      <c r="A72" s="21" t="s">
        <v>49</v>
      </c>
      <c r="B72" s="2" t="s">
        <v>65</v>
      </c>
      <c r="C72" s="2">
        <v>45</v>
      </c>
      <c r="D72" s="22">
        <v>73.749719101123603</v>
      </c>
      <c r="E72" s="22">
        <v>74.430000000000007</v>
      </c>
      <c r="F72" s="37">
        <f t="shared" si="21"/>
        <v>1.0092241829144299</v>
      </c>
      <c r="G72" s="24">
        <v>4</v>
      </c>
      <c r="H72" s="25" t="s">
        <v>69</v>
      </c>
      <c r="I72" s="17">
        <v>6</v>
      </c>
      <c r="J72" s="17">
        <v>5</v>
      </c>
      <c r="K72" s="17">
        <f t="shared" si="22"/>
        <v>384</v>
      </c>
      <c r="L72" s="33">
        <f t="shared" si="23"/>
        <v>576.80007638483005</v>
      </c>
      <c r="M72" s="33">
        <f t="shared" si="24"/>
        <v>960.80007638483005</v>
      </c>
    </row>
    <row r="73" spans="1:13" ht="20.100000000000001" customHeight="1" x14ac:dyDescent="0.15">
      <c r="A73" s="21" t="s">
        <v>70</v>
      </c>
      <c r="B73" s="2" t="s">
        <v>65</v>
      </c>
      <c r="C73" s="2">
        <v>40</v>
      </c>
      <c r="D73" s="22">
        <v>73.749719101123603</v>
      </c>
      <c r="E73" s="22">
        <v>73.039130434782606</v>
      </c>
      <c r="F73" s="37">
        <f t="shared" si="21"/>
        <v>0.99036486274114899</v>
      </c>
      <c r="G73" s="24">
        <v>5</v>
      </c>
      <c r="H73" s="25" t="s">
        <v>71</v>
      </c>
      <c r="I73" s="17">
        <v>6</v>
      </c>
      <c r="J73" s="17">
        <v>5</v>
      </c>
      <c r="K73" s="17">
        <f t="shared" si="22"/>
        <v>384</v>
      </c>
      <c r="L73" s="33">
        <f t="shared" si="23"/>
        <v>566.02144315281703</v>
      </c>
      <c r="M73" s="33">
        <f t="shared" si="24"/>
        <v>950.02144315281703</v>
      </c>
    </row>
    <row r="74" spans="1:13" ht="20.100000000000001" customHeight="1" x14ac:dyDescent="0.15">
      <c r="A74" s="21" t="s">
        <v>72</v>
      </c>
      <c r="B74" s="2" t="s">
        <v>65</v>
      </c>
      <c r="C74" s="2">
        <v>48</v>
      </c>
      <c r="D74" s="22">
        <v>73.749719101123603</v>
      </c>
      <c r="E74" s="22">
        <v>68.941935483871006</v>
      </c>
      <c r="F74" s="37">
        <f t="shared" si="21"/>
        <v>0.93480946536677301</v>
      </c>
      <c r="G74" s="24">
        <v>6</v>
      </c>
      <c r="H74" s="25" t="s">
        <v>73</v>
      </c>
      <c r="I74" s="17">
        <v>6</v>
      </c>
      <c r="J74" s="17">
        <v>5</v>
      </c>
      <c r="K74" s="17">
        <f t="shared" si="22"/>
        <v>384</v>
      </c>
      <c r="L74" s="33">
        <f t="shared" si="23"/>
        <v>534.26996712635798</v>
      </c>
      <c r="M74" s="33">
        <f t="shared" si="24"/>
        <v>918.26996712635798</v>
      </c>
    </row>
    <row r="75" spans="1:13" ht="20.100000000000001" customHeight="1" x14ac:dyDescent="0.15">
      <c r="A75" s="21" t="s">
        <v>74</v>
      </c>
      <c r="B75" s="2" t="s">
        <v>65</v>
      </c>
      <c r="C75" s="2">
        <v>43</v>
      </c>
      <c r="D75" s="22">
        <v>73.749719101123603</v>
      </c>
      <c r="E75" s="22">
        <v>68.0138888888889</v>
      </c>
      <c r="F75" s="37">
        <f t="shared" si="21"/>
        <v>0.92222573479405501</v>
      </c>
      <c r="G75" s="24">
        <v>7</v>
      </c>
      <c r="H75" s="25" t="s">
        <v>66</v>
      </c>
      <c r="I75" s="17">
        <v>6</v>
      </c>
      <c r="J75" s="17">
        <v>5</v>
      </c>
      <c r="K75" s="17">
        <f t="shared" si="22"/>
        <v>384</v>
      </c>
      <c r="L75" s="33">
        <f t="shared" si="23"/>
        <v>527.07801029612301</v>
      </c>
      <c r="M75" s="33">
        <f t="shared" si="24"/>
        <v>911.07801029612301</v>
      </c>
    </row>
    <row r="76" spans="1:13" ht="20.100000000000001" customHeight="1" x14ac:dyDescent="0.15">
      <c r="A76" s="4"/>
      <c r="B76" s="4"/>
      <c r="C76" s="4"/>
      <c r="D76" s="26"/>
      <c r="E76" s="13"/>
      <c r="F76" s="27"/>
      <c r="G76" s="4"/>
      <c r="H76" s="4"/>
      <c r="I76" s="20"/>
      <c r="J76" s="17" t="s">
        <v>20</v>
      </c>
      <c r="K76" s="34">
        <f>SUM(K69:K75)</f>
        <v>2688</v>
      </c>
      <c r="L76" s="34">
        <f>SUM(L69:L75)</f>
        <v>4032</v>
      </c>
      <c r="M76" s="34">
        <f t="shared" si="24"/>
        <v>6720</v>
      </c>
    </row>
    <row r="77" spans="1:13" ht="20.100000000000001" customHeight="1" x14ac:dyDescent="0.15">
      <c r="A77" s="4"/>
      <c r="B77" s="4" t="s">
        <v>2</v>
      </c>
      <c r="C77" s="4" t="s">
        <v>3</v>
      </c>
      <c r="D77" s="4" t="s">
        <v>4</v>
      </c>
      <c r="E77" s="5"/>
      <c r="F77" s="5"/>
      <c r="G77" s="5"/>
      <c r="H77" s="5"/>
      <c r="I77" s="5"/>
      <c r="J77" s="5"/>
      <c r="K77" s="5"/>
      <c r="L77" s="5"/>
      <c r="M77" s="5"/>
    </row>
    <row r="78" spans="1:13" ht="20.100000000000001" customHeight="1" x14ac:dyDescent="0.15">
      <c r="A78" s="16" t="s">
        <v>139</v>
      </c>
      <c r="B78" s="18" t="s">
        <v>18</v>
      </c>
      <c r="C78" s="18">
        <f>2000*8*0.6</f>
        <v>9600</v>
      </c>
      <c r="D78" s="19">
        <f>C78*0.8</f>
        <v>7680</v>
      </c>
      <c r="E78" s="5"/>
      <c r="F78" s="5"/>
      <c r="G78" s="5"/>
      <c r="H78" s="5"/>
      <c r="I78" s="80" t="s">
        <v>22</v>
      </c>
      <c r="J78" s="81"/>
      <c r="K78" s="17"/>
      <c r="L78" s="17"/>
      <c r="M78" s="17"/>
    </row>
    <row r="79" spans="1:13" ht="20.100000000000001" customHeight="1" x14ac:dyDescent="0.15">
      <c r="A79" s="17" t="s">
        <v>23</v>
      </c>
      <c r="B79" s="17" t="s">
        <v>1</v>
      </c>
      <c r="C79" s="17" t="s">
        <v>24</v>
      </c>
      <c r="D79" s="17" t="s">
        <v>25</v>
      </c>
      <c r="E79" s="2" t="s">
        <v>26</v>
      </c>
      <c r="F79" s="2" t="s">
        <v>27</v>
      </c>
      <c r="G79" s="17" t="s">
        <v>28</v>
      </c>
      <c r="H79" s="17" t="s">
        <v>29</v>
      </c>
      <c r="I79" s="32" t="s">
        <v>30</v>
      </c>
      <c r="J79" s="32" t="s">
        <v>31</v>
      </c>
      <c r="K79" s="17" t="s">
        <v>32</v>
      </c>
      <c r="L79" s="17" t="s">
        <v>33</v>
      </c>
      <c r="M79" s="17" t="s">
        <v>20</v>
      </c>
    </row>
    <row r="80" spans="1:13" ht="20.100000000000001" customHeight="1" x14ac:dyDescent="0.15">
      <c r="A80" s="21" t="s">
        <v>76</v>
      </c>
      <c r="B80" s="2" t="s">
        <v>140</v>
      </c>
      <c r="C80" s="2">
        <v>43</v>
      </c>
      <c r="D80" s="22">
        <v>31.75</v>
      </c>
      <c r="E80" s="22">
        <v>43.395348837209298</v>
      </c>
      <c r="F80" s="38">
        <f t="shared" ref="F80:F87" si="25">E80/D80</f>
        <v>1.36678264054203</v>
      </c>
      <c r="G80" s="17">
        <v>1</v>
      </c>
      <c r="H80" s="28" t="s">
        <v>141</v>
      </c>
      <c r="I80" s="17">
        <v>7</v>
      </c>
      <c r="J80" s="17">
        <v>7</v>
      </c>
      <c r="K80" s="17">
        <f t="shared" ref="K80:K87" si="26">$D$78*0.4*SUM(I80:J80)/SUM($I$80:$J$87)</f>
        <v>384</v>
      </c>
      <c r="L80" s="33">
        <f t="shared" ref="L80:L87" si="27">$D$78*0.6*0.7*E80/SUM($E$80:$E$87)+$D$78*0.6*0.3*F80/SUM($F$80:$F$87)</f>
        <v>790.26667073743897</v>
      </c>
      <c r="M80" s="33">
        <f t="shared" ref="M80:M88" si="28">SUM(K80:L80)</f>
        <v>1174.2666707374401</v>
      </c>
    </row>
    <row r="81" spans="1:13" ht="20.100000000000001" customHeight="1" x14ac:dyDescent="0.15">
      <c r="A81" s="21" t="s">
        <v>78</v>
      </c>
      <c r="B81" s="2" t="s">
        <v>140</v>
      </c>
      <c r="C81" s="2">
        <v>50</v>
      </c>
      <c r="D81" s="22">
        <v>31.75</v>
      </c>
      <c r="E81" s="22">
        <v>37.152173913043498</v>
      </c>
      <c r="F81" s="38">
        <f t="shared" si="25"/>
        <v>1.1701472098596399</v>
      </c>
      <c r="G81" s="17">
        <v>2</v>
      </c>
      <c r="H81" s="25" t="s">
        <v>142</v>
      </c>
      <c r="I81" s="17">
        <v>7</v>
      </c>
      <c r="J81" s="17">
        <v>7</v>
      </c>
      <c r="K81" s="17">
        <f t="shared" si="26"/>
        <v>384</v>
      </c>
      <c r="L81" s="33">
        <f t="shared" si="27"/>
        <v>676.57307927305806</v>
      </c>
      <c r="M81" s="33">
        <f t="shared" si="28"/>
        <v>1060.5730792730601</v>
      </c>
    </row>
    <row r="82" spans="1:13" ht="20.100000000000001" customHeight="1" x14ac:dyDescent="0.15">
      <c r="A82" s="21" t="s">
        <v>81</v>
      </c>
      <c r="B82" s="2" t="s">
        <v>140</v>
      </c>
      <c r="C82" s="2">
        <v>48</v>
      </c>
      <c r="D82" s="22">
        <v>31.75</v>
      </c>
      <c r="E82" s="22">
        <v>33.836734693877602</v>
      </c>
      <c r="F82" s="38">
        <f t="shared" si="25"/>
        <v>1.06572392736622</v>
      </c>
      <c r="G82" s="17">
        <v>3</v>
      </c>
      <c r="H82" s="25" t="s">
        <v>143</v>
      </c>
      <c r="I82" s="17">
        <v>7</v>
      </c>
      <c r="J82" s="17">
        <v>7</v>
      </c>
      <c r="K82" s="17">
        <f t="shared" si="26"/>
        <v>384</v>
      </c>
      <c r="L82" s="33">
        <f t="shared" si="27"/>
        <v>616.19607611561401</v>
      </c>
      <c r="M82" s="33">
        <f t="shared" si="28"/>
        <v>1000.19607611561</v>
      </c>
    </row>
    <row r="83" spans="1:13" ht="20.100000000000001" customHeight="1" x14ac:dyDescent="0.15">
      <c r="A83" s="21" t="s">
        <v>82</v>
      </c>
      <c r="B83" s="2" t="s">
        <v>140</v>
      </c>
      <c r="C83" s="2">
        <v>50</v>
      </c>
      <c r="D83" s="22">
        <v>31.75</v>
      </c>
      <c r="E83" s="22">
        <v>33.413043478260903</v>
      </c>
      <c r="F83" s="38">
        <f t="shared" si="25"/>
        <v>1.05237932214995</v>
      </c>
      <c r="G83" s="17">
        <v>4</v>
      </c>
      <c r="H83" s="25" t="s">
        <v>144</v>
      </c>
      <c r="I83" s="17">
        <v>7</v>
      </c>
      <c r="J83" s="17">
        <v>7</v>
      </c>
      <c r="K83" s="17">
        <f t="shared" si="26"/>
        <v>384</v>
      </c>
      <c r="L83" s="33">
        <f t="shared" si="27"/>
        <v>608.48029423211904</v>
      </c>
      <c r="M83" s="33">
        <f t="shared" si="28"/>
        <v>992.48029423211904</v>
      </c>
    </row>
    <row r="84" spans="1:13" ht="20.100000000000001" customHeight="1" x14ac:dyDescent="0.15">
      <c r="A84" s="21" t="s">
        <v>80</v>
      </c>
      <c r="B84" s="2" t="s">
        <v>140</v>
      </c>
      <c r="C84" s="2">
        <v>48</v>
      </c>
      <c r="D84" s="22">
        <v>31.75</v>
      </c>
      <c r="E84" s="22">
        <v>29.32</v>
      </c>
      <c r="F84" s="38">
        <f t="shared" si="25"/>
        <v>0.92346456692913403</v>
      </c>
      <c r="G84" s="17">
        <v>5</v>
      </c>
      <c r="H84" s="25" t="s">
        <v>142</v>
      </c>
      <c r="I84" s="17">
        <v>7</v>
      </c>
      <c r="J84" s="17">
        <v>7</v>
      </c>
      <c r="K84" s="17">
        <f t="shared" si="26"/>
        <v>384</v>
      </c>
      <c r="L84" s="33">
        <f t="shared" si="27"/>
        <v>533.94244790939695</v>
      </c>
      <c r="M84" s="33">
        <f t="shared" si="28"/>
        <v>917.94244790939695</v>
      </c>
    </row>
    <row r="85" spans="1:13" ht="20.100000000000001" customHeight="1" x14ac:dyDescent="0.15">
      <c r="A85" s="21" t="s">
        <v>84</v>
      </c>
      <c r="B85" s="2" t="s">
        <v>140</v>
      </c>
      <c r="C85" s="2">
        <v>40</v>
      </c>
      <c r="D85" s="22">
        <v>31.75</v>
      </c>
      <c r="E85" s="22">
        <v>27.5348837209302</v>
      </c>
      <c r="F85" s="38">
        <f t="shared" si="25"/>
        <v>0.86724043215528202</v>
      </c>
      <c r="G85" s="17">
        <v>6</v>
      </c>
      <c r="H85" s="25" t="s">
        <v>143</v>
      </c>
      <c r="I85" s="17">
        <v>7</v>
      </c>
      <c r="J85" s="17">
        <v>7</v>
      </c>
      <c r="K85" s="17">
        <f t="shared" si="26"/>
        <v>384</v>
      </c>
      <c r="L85" s="33">
        <f t="shared" si="27"/>
        <v>501.43394327605898</v>
      </c>
      <c r="M85" s="33">
        <f t="shared" si="28"/>
        <v>885.43394327605904</v>
      </c>
    </row>
    <row r="86" spans="1:13" ht="20.100000000000001" customHeight="1" x14ac:dyDescent="0.15">
      <c r="A86" s="21" t="s">
        <v>83</v>
      </c>
      <c r="B86" s="2" t="s">
        <v>140</v>
      </c>
      <c r="C86" s="2">
        <v>48</v>
      </c>
      <c r="D86" s="22">
        <v>31.75</v>
      </c>
      <c r="E86" s="22">
        <v>24.488888888888901</v>
      </c>
      <c r="F86" s="38">
        <f t="shared" si="25"/>
        <v>0.77130358705161906</v>
      </c>
      <c r="G86" s="17">
        <v>7</v>
      </c>
      <c r="H86" s="25" t="s">
        <v>141</v>
      </c>
      <c r="I86" s="17">
        <v>7</v>
      </c>
      <c r="J86" s="17">
        <v>7</v>
      </c>
      <c r="K86" s="17">
        <f t="shared" si="26"/>
        <v>384</v>
      </c>
      <c r="L86" s="33">
        <f t="shared" si="27"/>
        <v>445.96375443092001</v>
      </c>
      <c r="M86" s="33">
        <f t="shared" si="28"/>
        <v>829.96375443091995</v>
      </c>
    </row>
    <row r="87" spans="1:13" ht="20.100000000000001" customHeight="1" x14ac:dyDescent="0.15">
      <c r="A87" s="21" t="s">
        <v>85</v>
      </c>
      <c r="B87" s="2" t="s">
        <v>140</v>
      </c>
      <c r="C87" s="2">
        <v>48</v>
      </c>
      <c r="D87" s="22">
        <v>31.75</v>
      </c>
      <c r="E87" s="22">
        <v>23.894736842105299</v>
      </c>
      <c r="F87" s="38">
        <f t="shared" si="25"/>
        <v>0.75259013675922204</v>
      </c>
      <c r="G87" s="17">
        <v>8</v>
      </c>
      <c r="H87" s="25" t="s">
        <v>144</v>
      </c>
      <c r="I87" s="17">
        <v>7</v>
      </c>
      <c r="J87" s="17">
        <v>7</v>
      </c>
      <c r="K87" s="17">
        <f t="shared" si="26"/>
        <v>384</v>
      </c>
      <c r="L87" s="33">
        <f t="shared" si="27"/>
        <v>435.143734025394</v>
      </c>
      <c r="M87" s="33">
        <f t="shared" si="28"/>
        <v>819.143734025394</v>
      </c>
    </row>
    <row r="88" spans="1:13" ht="20.100000000000001" customHeight="1" x14ac:dyDescent="0.15">
      <c r="A88" s="5"/>
      <c r="B88" s="5"/>
      <c r="C88" s="5"/>
      <c r="D88" s="5"/>
      <c r="E88" s="5"/>
      <c r="F88" s="5"/>
      <c r="G88" s="5"/>
      <c r="H88" s="5"/>
      <c r="I88" s="5"/>
      <c r="J88" s="17" t="s">
        <v>20</v>
      </c>
      <c r="K88" s="34">
        <f>SUM(K80:K87)</f>
        <v>3072</v>
      </c>
      <c r="L88" s="34">
        <f>SUM(L80:L87)</f>
        <v>4608</v>
      </c>
      <c r="M88" s="34">
        <f t="shared" si="28"/>
        <v>7680</v>
      </c>
    </row>
    <row r="89" spans="1:13" ht="20.100000000000001" customHeight="1" x14ac:dyDescent="0.15">
      <c r="A89" s="4"/>
      <c r="B89" s="4" t="s">
        <v>2</v>
      </c>
      <c r="C89" s="4" t="s">
        <v>3</v>
      </c>
      <c r="D89" s="4" t="s">
        <v>4</v>
      </c>
      <c r="E89" s="39"/>
      <c r="F89" s="14"/>
      <c r="G89" s="15"/>
      <c r="H89" s="4"/>
      <c r="I89" s="20"/>
      <c r="J89" s="20"/>
      <c r="K89" s="4"/>
      <c r="L89" s="4"/>
      <c r="M89" s="4"/>
    </row>
    <row r="90" spans="1:13" ht="20.100000000000001" customHeight="1" x14ac:dyDescent="0.15">
      <c r="A90" s="16" t="s">
        <v>145</v>
      </c>
      <c r="B90" s="18" t="s">
        <v>18</v>
      </c>
      <c r="C90" s="18">
        <f>2000*8*0.6</f>
        <v>9600</v>
      </c>
      <c r="D90" s="19">
        <f>C90*0.8</f>
        <v>7680</v>
      </c>
      <c r="E90" s="13"/>
      <c r="F90" s="14"/>
      <c r="G90" s="15"/>
      <c r="H90" s="4"/>
      <c r="I90" s="80" t="s">
        <v>22</v>
      </c>
      <c r="J90" s="81"/>
      <c r="K90" s="17"/>
      <c r="L90" s="17"/>
      <c r="M90" s="17"/>
    </row>
    <row r="91" spans="1:13" ht="20.100000000000001" customHeight="1" x14ac:dyDescent="0.15">
      <c r="A91" s="17" t="s">
        <v>23</v>
      </c>
      <c r="B91" s="17" t="s">
        <v>1</v>
      </c>
      <c r="C91" s="17" t="s">
        <v>24</v>
      </c>
      <c r="D91" s="17" t="s">
        <v>25</v>
      </c>
      <c r="E91" s="17" t="s">
        <v>26</v>
      </c>
      <c r="F91" s="17" t="s">
        <v>27</v>
      </c>
      <c r="G91" s="17" t="s">
        <v>28</v>
      </c>
      <c r="H91" s="17" t="s">
        <v>29</v>
      </c>
      <c r="I91" s="32" t="s">
        <v>30</v>
      </c>
      <c r="J91" s="32" t="s">
        <v>31</v>
      </c>
      <c r="K91" s="17" t="s">
        <v>32</v>
      </c>
      <c r="L91" s="17" t="s">
        <v>33</v>
      </c>
      <c r="M91" s="17" t="s">
        <v>20</v>
      </c>
    </row>
    <row r="92" spans="1:13" ht="20.100000000000001" customHeight="1" x14ac:dyDescent="0.15">
      <c r="A92" s="21" t="s">
        <v>76</v>
      </c>
      <c r="B92" s="2" t="s">
        <v>112</v>
      </c>
      <c r="C92" s="2">
        <v>43</v>
      </c>
      <c r="D92" s="22">
        <v>65.006987577639705</v>
      </c>
      <c r="E92" s="22">
        <v>105.93023255814001</v>
      </c>
      <c r="F92" s="38">
        <f t="shared" ref="F92:F99" si="29">E92/D92</f>
        <v>1.6295207100871201</v>
      </c>
      <c r="G92" s="17">
        <v>1</v>
      </c>
      <c r="H92" s="28" t="s">
        <v>113</v>
      </c>
      <c r="I92" s="17">
        <v>7</v>
      </c>
      <c r="J92" s="17">
        <v>7</v>
      </c>
      <c r="K92" s="17">
        <f t="shared" ref="K92:K99" si="30">$D$90*0.4*SUM(I92:J92)/SUM($I$92:$J$99)</f>
        <v>384</v>
      </c>
      <c r="L92" s="33">
        <f t="shared" ref="L92:L99" si="31">$D$90*0.6*0.7*E92/SUM($E$92:$E$99)+$D$90*0.6*0.3*F92/SUM($F$92:$F$99)</f>
        <v>869.76500045424098</v>
      </c>
      <c r="M92" s="33">
        <f t="shared" ref="M92:M100" si="32">SUM(K92:L92)</f>
        <v>1253.76500045424</v>
      </c>
    </row>
    <row r="93" spans="1:13" ht="20.100000000000001" customHeight="1" x14ac:dyDescent="0.15">
      <c r="A93" s="21" t="s">
        <v>81</v>
      </c>
      <c r="B93" s="2" t="s">
        <v>112</v>
      </c>
      <c r="C93" s="2">
        <v>48</v>
      </c>
      <c r="D93" s="22">
        <v>65.006987577639705</v>
      </c>
      <c r="E93" s="22">
        <v>82.346938775510196</v>
      </c>
      <c r="F93" s="38">
        <f t="shared" si="29"/>
        <v>1.26673980511958</v>
      </c>
      <c r="G93" s="17">
        <v>2</v>
      </c>
      <c r="H93" s="25" t="s">
        <v>114</v>
      </c>
      <c r="I93" s="17">
        <v>7</v>
      </c>
      <c r="J93" s="17">
        <v>7</v>
      </c>
      <c r="K93" s="17">
        <f t="shared" si="30"/>
        <v>384</v>
      </c>
      <c r="L93" s="33">
        <f t="shared" si="31"/>
        <v>676.12883982083997</v>
      </c>
      <c r="M93" s="33">
        <f t="shared" si="32"/>
        <v>1060.1288398208401</v>
      </c>
    </row>
    <row r="94" spans="1:13" ht="20.100000000000001" customHeight="1" x14ac:dyDescent="0.15">
      <c r="A94" s="21" t="s">
        <v>82</v>
      </c>
      <c r="B94" s="2" t="s">
        <v>112</v>
      </c>
      <c r="C94" s="2">
        <v>50</v>
      </c>
      <c r="D94" s="22">
        <v>65.006987577639705</v>
      </c>
      <c r="E94" s="22">
        <v>75.978260869565204</v>
      </c>
      <c r="F94" s="38">
        <f t="shared" si="29"/>
        <v>1.1687706768264301</v>
      </c>
      <c r="G94" s="17">
        <v>3</v>
      </c>
      <c r="H94" s="25" t="s">
        <v>115</v>
      </c>
      <c r="I94" s="17">
        <v>7</v>
      </c>
      <c r="J94" s="17">
        <v>7</v>
      </c>
      <c r="K94" s="17">
        <f t="shared" si="30"/>
        <v>384</v>
      </c>
      <c r="L94" s="33">
        <f t="shared" si="31"/>
        <v>623.83731729711803</v>
      </c>
      <c r="M94" s="33">
        <f t="shared" si="32"/>
        <v>1007.83731729712</v>
      </c>
    </row>
    <row r="95" spans="1:13" ht="20.100000000000001" customHeight="1" x14ac:dyDescent="0.15">
      <c r="A95" s="21" t="s">
        <v>78</v>
      </c>
      <c r="B95" s="2" t="s">
        <v>112</v>
      </c>
      <c r="C95" s="2">
        <v>41</v>
      </c>
      <c r="D95" s="22">
        <v>65.006987577639705</v>
      </c>
      <c r="E95" s="22">
        <v>67.913043478260903</v>
      </c>
      <c r="F95" s="38">
        <f t="shared" si="29"/>
        <v>1.04470374661109</v>
      </c>
      <c r="G95" s="17">
        <v>4</v>
      </c>
      <c r="H95" s="25" t="s">
        <v>116</v>
      </c>
      <c r="I95" s="17">
        <v>7</v>
      </c>
      <c r="J95" s="17">
        <v>7</v>
      </c>
      <c r="K95" s="17">
        <f t="shared" si="30"/>
        <v>384</v>
      </c>
      <c r="L95" s="33">
        <f t="shared" si="31"/>
        <v>557.61595972423402</v>
      </c>
      <c r="M95" s="33">
        <f t="shared" si="32"/>
        <v>941.61595972423402</v>
      </c>
    </row>
    <row r="96" spans="1:13" ht="20.100000000000001" customHeight="1" x14ac:dyDescent="0.15">
      <c r="A96" s="21" t="s">
        <v>83</v>
      </c>
      <c r="B96" s="2" t="s">
        <v>112</v>
      </c>
      <c r="C96" s="2">
        <v>48</v>
      </c>
      <c r="D96" s="22">
        <v>65.006987577639705</v>
      </c>
      <c r="E96" s="22">
        <v>67.122222222222206</v>
      </c>
      <c r="F96" s="38">
        <f t="shared" si="29"/>
        <v>1.0325385735196</v>
      </c>
      <c r="G96" s="17">
        <v>5</v>
      </c>
      <c r="H96" s="25" t="s">
        <v>113</v>
      </c>
      <c r="I96" s="17">
        <v>7</v>
      </c>
      <c r="J96" s="17">
        <v>7</v>
      </c>
      <c r="K96" s="17">
        <f t="shared" si="30"/>
        <v>384</v>
      </c>
      <c r="L96" s="33">
        <f t="shared" si="31"/>
        <v>551.12273646296899</v>
      </c>
      <c r="M96" s="33">
        <f t="shared" si="32"/>
        <v>935.12273646296899</v>
      </c>
    </row>
    <row r="97" spans="1:13" ht="20.100000000000001" customHeight="1" x14ac:dyDescent="0.15">
      <c r="A97" s="21" t="s">
        <v>80</v>
      </c>
      <c r="B97" s="2" t="s">
        <v>112</v>
      </c>
      <c r="C97" s="2">
        <v>41</v>
      </c>
      <c r="D97" s="22">
        <v>65.006987577639705</v>
      </c>
      <c r="E97" s="22">
        <v>66.510000000000005</v>
      </c>
      <c r="F97" s="38">
        <f t="shared" si="29"/>
        <v>1.0231207825245701</v>
      </c>
      <c r="G97" s="17">
        <v>6</v>
      </c>
      <c r="H97" s="25" t="s">
        <v>117</v>
      </c>
      <c r="I97" s="17">
        <v>7</v>
      </c>
      <c r="J97" s="17">
        <v>7</v>
      </c>
      <c r="K97" s="17">
        <f t="shared" si="30"/>
        <v>384</v>
      </c>
      <c r="L97" s="33">
        <f t="shared" si="31"/>
        <v>546.09594242570495</v>
      </c>
      <c r="M97" s="33">
        <f t="shared" si="32"/>
        <v>930.09594242570495</v>
      </c>
    </row>
    <row r="98" spans="1:13" ht="20.100000000000001" customHeight="1" x14ac:dyDescent="0.15">
      <c r="A98" s="21" t="s">
        <v>85</v>
      </c>
      <c r="B98" s="2" t="s">
        <v>112</v>
      </c>
      <c r="C98" s="2">
        <v>48</v>
      </c>
      <c r="D98" s="22">
        <v>65.006987577639705</v>
      </c>
      <c r="E98" s="22">
        <v>49.276315789473699</v>
      </c>
      <c r="F98" s="38">
        <f t="shared" si="29"/>
        <v>0.75801567840105799</v>
      </c>
      <c r="G98" s="17">
        <v>7</v>
      </c>
      <c r="H98" s="25" t="s">
        <v>118</v>
      </c>
      <c r="I98" s="17">
        <v>7</v>
      </c>
      <c r="J98" s="17">
        <v>7</v>
      </c>
      <c r="K98" s="17">
        <f t="shared" si="30"/>
        <v>384</v>
      </c>
      <c r="L98" s="33">
        <f t="shared" si="31"/>
        <v>404.59473929212601</v>
      </c>
      <c r="M98" s="33">
        <f t="shared" si="32"/>
        <v>788.59473929212595</v>
      </c>
    </row>
    <row r="99" spans="1:13" ht="20.100000000000001" customHeight="1" x14ac:dyDescent="0.15">
      <c r="A99" s="21" t="s">
        <v>84</v>
      </c>
      <c r="B99" s="2" t="s">
        <v>112</v>
      </c>
      <c r="C99" s="2">
        <v>50</v>
      </c>
      <c r="D99" s="22">
        <v>65.006987577639705</v>
      </c>
      <c r="E99" s="22">
        <v>46.139534883720899</v>
      </c>
      <c r="F99" s="38">
        <f t="shared" si="29"/>
        <v>0.70976269787328805</v>
      </c>
      <c r="G99" s="17">
        <v>8</v>
      </c>
      <c r="H99" s="25" t="s">
        <v>119</v>
      </c>
      <c r="I99" s="17">
        <v>7</v>
      </c>
      <c r="J99" s="17">
        <v>7</v>
      </c>
      <c r="K99" s="17">
        <f t="shared" si="30"/>
        <v>384</v>
      </c>
      <c r="L99" s="33">
        <f t="shared" si="31"/>
        <v>378.83946452276803</v>
      </c>
      <c r="M99" s="33">
        <f t="shared" si="32"/>
        <v>762.839464522767</v>
      </c>
    </row>
    <row r="100" spans="1:13" ht="20.100000000000001" customHeight="1" x14ac:dyDescent="0.15">
      <c r="A100" s="4"/>
      <c r="B100" s="4"/>
      <c r="C100" s="4"/>
      <c r="D100" s="26"/>
      <c r="E100" s="26"/>
      <c r="F100" s="14"/>
      <c r="G100" s="15"/>
      <c r="H100" s="4"/>
      <c r="I100" s="4"/>
      <c r="J100" s="17" t="s">
        <v>20</v>
      </c>
      <c r="K100" s="34">
        <f>SUM(K92:K99)</f>
        <v>3072</v>
      </c>
      <c r="L100" s="36">
        <f>SUM(L92:L99)</f>
        <v>4608</v>
      </c>
      <c r="M100" s="34">
        <f t="shared" si="32"/>
        <v>7680</v>
      </c>
    </row>
    <row r="101" spans="1:13" ht="20.100000000000001" customHeight="1" x14ac:dyDescent="0.15">
      <c r="A101" s="4"/>
      <c r="B101" s="4" t="s">
        <v>2</v>
      </c>
      <c r="C101" s="4" t="s">
        <v>3</v>
      </c>
      <c r="D101" s="7" t="s">
        <v>4</v>
      </c>
      <c r="E101" s="26"/>
      <c r="F101" s="14"/>
      <c r="G101" s="15"/>
      <c r="H101" s="4"/>
      <c r="I101" s="20"/>
      <c r="J101" s="20"/>
      <c r="K101" s="4"/>
      <c r="L101" s="4"/>
      <c r="M101" s="4"/>
    </row>
    <row r="102" spans="1:13" ht="20.100000000000001" customHeight="1" x14ac:dyDescent="0.15">
      <c r="A102" s="16" t="s">
        <v>146</v>
      </c>
      <c r="B102" s="18" t="s">
        <v>11</v>
      </c>
      <c r="C102" s="18">
        <f>4000*7*0.6</f>
        <v>16800</v>
      </c>
      <c r="D102" s="19">
        <f>C102*0.8</f>
        <v>13440</v>
      </c>
      <c r="E102" s="26"/>
      <c r="F102" s="14"/>
      <c r="G102" s="15"/>
      <c r="H102" s="4"/>
      <c r="I102" s="31" t="s">
        <v>22</v>
      </c>
      <c r="J102" s="30"/>
      <c r="K102" s="17"/>
      <c r="L102" s="17"/>
      <c r="M102" s="17"/>
    </row>
    <row r="103" spans="1:13" ht="20.100000000000001" customHeight="1" x14ac:dyDescent="0.15">
      <c r="A103" s="17" t="s">
        <v>23</v>
      </c>
      <c r="B103" s="17" t="s">
        <v>1</v>
      </c>
      <c r="C103" s="17" t="s">
        <v>24</v>
      </c>
      <c r="D103" s="17" t="s">
        <v>25</v>
      </c>
      <c r="E103" s="17" t="s">
        <v>26</v>
      </c>
      <c r="F103" s="17" t="s">
        <v>27</v>
      </c>
      <c r="G103" s="17" t="s">
        <v>28</v>
      </c>
      <c r="H103" s="17" t="s">
        <v>29</v>
      </c>
      <c r="I103" s="32" t="s">
        <v>30</v>
      </c>
      <c r="J103" s="32" t="s">
        <v>31</v>
      </c>
      <c r="K103" s="17" t="s">
        <v>32</v>
      </c>
      <c r="L103" s="17" t="s">
        <v>33</v>
      </c>
      <c r="M103" s="17" t="s">
        <v>20</v>
      </c>
    </row>
    <row r="104" spans="1:13" ht="20.100000000000001" customHeight="1" x14ac:dyDescent="0.15">
      <c r="A104" s="21" t="s">
        <v>76</v>
      </c>
      <c r="B104" s="2" t="s">
        <v>87</v>
      </c>
      <c r="C104" s="2">
        <v>43</v>
      </c>
      <c r="D104" s="3">
        <v>75.258688524590198</v>
      </c>
      <c r="E104" s="22">
        <v>84.283720930232604</v>
      </c>
      <c r="F104" s="38">
        <f t="shared" ref="F104:F110" si="33">E104/D104</f>
        <v>1.1199201392234399</v>
      </c>
      <c r="G104" s="17">
        <v>1</v>
      </c>
      <c r="H104" s="28" t="s">
        <v>88</v>
      </c>
      <c r="I104" s="17">
        <v>5</v>
      </c>
      <c r="J104" s="17">
        <v>6</v>
      </c>
      <c r="K104" s="17">
        <f t="shared" ref="K104:K110" si="34">$D$102*0.4*SUM(I104:J104)/SUM($I$104:$J$110)</f>
        <v>768</v>
      </c>
      <c r="L104" s="33">
        <f t="shared" ref="L104:L110" si="35">$D$102*0.6*0.7*E104/SUM($E$104:$E$110)+$D$102*0.6*0.3*F104/SUM($F$104:$F$110)</f>
        <v>1296.18189406543</v>
      </c>
      <c r="M104" s="33">
        <f t="shared" ref="M104:M111" si="36">SUM(K104:L104)</f>
        <v>2064.1818940654298</v>
      </c>
    </row>
    <row r="105" spans="1:13" ht="20.100000000000001" customHeight="1" x14ac:dyDescent="0.15">
      <c r="A105" s="21" t="s">
        <v>78</v>
      </c>
      <c r="B105" s="2" t="s">
        <v>87</v>
      </c>
      <c r="C105" s="2">
        <v>48</v>
      </c>
      <c r="D105" s="3">
        <v>75.258688524590198</v>
      </c>
      <c r="E105" s="22">
        <v>80.734782608695696</v>
      </c>
      <c r="F105" s="38">
        <f t="shared" si="33"/>
        <v>1.0727636129656499</v>
      </c>
      <c r="G105" s="17">
        <v>2</v>
      </c>
      <c r="H105" s="25" t="s">
        <v>89</v>
      </c>
      <c r="I105" s="17">
        <v>5</v>
      </c>
      <c r="J105" s="17">
        <v>6</v>
      </c>
      <c r="K105" s="17">
        <f t="shared" si="34"/>
        <v>768</v>
      </c>
      <c r="L105" s="33">
        <f t="shared" si="35"/>
        <v>1241.6035063915001</v>
      </c>
      <c r="M105" s="33">
        <f t="shared" si="36"/>
        <v>2009.6035063915001</v>
      </c>
    </row>
    <row r="106" spans="1:13" ht="20.100000000000001" customHeight="1" x14ac:dyDescent="0.15">
      <c r="A106" s="21" t="s">
        <v>82</v>
      </c>
      <c r="B106" s="2" t="s">
        <v>87</v>
      </c>
      <c r="C106" s="2">
        <v>48</v>
      </c>
      <c r="D106" s="3">
        <v>75.258688524590198</v>
      </c>
      <c r="E106" s="22">
        <v>79.478260869565204</v>
      </c>
      <c r="F106" s="38">
        <f t="shared" si="33"/>
        <v>1.05606757741462</v>
      </c>
      <c r="G106" s="17">
        <v>3</v>
      </c>
      <c r="H106" s="25" t="s">
        <v>90</v>
      </c>
      <c r="I106" s="17">
        <v>5</v>
      </c>
      <c r="J106" s="17">
        <v>6</v>
      </c>
      <c r="K106" s="17">
        <f t="shared" si="34"/>
        <v>768</v>
      </c>
      <c r="L106" s="33">
        <f t="shared" si="35"/>
        <v>1222.2797187159599</v>
      </c>
      <c r="M106" s="33">
        <f t="shared" si="36"/>
        <v>1990.2797187159599</v>
      </c>
    </row>
    <row r="107" spans="1:13" ht="20.100000000000001" customHeight="1" x14ac:dyDescent="0.15">
      <c r="A107" s="21" t="s">
        <v>80</v>
      </c>
      <c r="B107" s="2" t="s">
        <v>87</v>
      </c>
      <c r="C107" s="2">
        <v>50</v>
      </c>
      <c r="D107" s="3">
        <v>75.258688524590198</v>
      </c>
      <c r="E107" s="22">
        <v>74.656000000000006</v>
      </c>
      <c r="F107" s="38">
        <f t="shared" si="33"/>
        <v>0.99199177481822198</v>
      </c>
      <c r="G107" s="17">
        <v>4</v>
      </c>
      <c r="H107" s="25" t="s">
        <v>90</v>
      </c>
      <c r="I107" s="17">
        <v>5</v>
      </c>
      <c r="J107" s="17">
        <v>6</v>
      </c>
      <c r="K107" s="17">
        <f t="shared" si="34"/>
        <v>768</v>
      </c>
      <c r="L107" s="33">
        <f t="shared" si="35"/>
        <v>1148.1191672048999</v>
      </c>
      <c r="M107" s="33">
        <f t="shared" si="36"/>
        <v>1916.1191672048999</v>
      </c>
    </row>
    <row r="108" spans="1:13" ht="20.100000000000001" customHeight="1" x14ac:dyDescent="0.15">
      <c r="A108" s="21" t="s">
        <v>81</v>
      </c>
      <c r="B108" s="2" t="s">
        <v>87</v>
      </c>
      <c r="C108" s="2">
        <v>50</v>
      </c>
      <c r="D108" s="3">
        <v>75.258688524590198</v>
      </c>
      <c r="E108" s="22">
        <v>70.583673469387705</v>
      </c>
      <c r="F108" s="38">
        <f t="shared" si="33"/>
        <v>0.93788072650674803</v>
      </c>
      <c r="G108" s="17">
        <v>5</v>
      </c>
      <c r="H108" s="25" t="s">
        <v>91</v>
      </c>
      <c r="I108" s="17">
        <v>5</v>
      </c>
      <c r="J108" s="17">
        <v>6</v>
      </c>
      <c r="K108" s="17">
        <f t="shared" si="34"/>
        <v>768</v>
      </c>
      <c r="L108" s="33">
        <f t="shared" si="35"/>
        <v>1085.49170062602</v>
      </c>
      <c r="M108" s="33">
        <f t="shared" si="36"/>
        <v>1853.49170062602</v>
      </c>
    </row>
    <row r="109" spans="1:13" ht="20.100000000000001" customHeight="1" x14ac:dyDescent="0.15">
      <c r="A109" s="21" t="s">
        <v>84</v>
      </c>
      <c r="B109" s="2" t="s">
        <v>87</v>
      </c>
      <c r="C109" s="2">
        <v>48</v>
      </c>
      <c r="D109" s="3">
        <v>75.258688524590198</v>
      </c>
      <c r="E109" s="22">
        <v>69.427272727272694</v>
      </c>
      <c r="F109" s="38">
        <f t="shared" si="33"/>
        <v>0.92251504893800895</v>
      </c>
      <c r="G109" s="17">
        <v>6</v>
      </c>
      <c r="H109" s="25" t="s">
        <v>88</v>
      </c>
      <c r="I109" s="17">
        <v>5</v>
      </c>
      <c r="J109" s="17">
        <v>6</v>
      </c>
      <c r="K109" s="17">
        <f t="shared" si="34"/>
        <v>768</v>
      </c>
      <c r="L109" s="33">
        <f t="shared" si="35"/>
        <v>1067.7076530345</v>
      </c>
      <c r="M109" s="33">
        <f t="shared" si="36"/>
        <v>1835.7076530345</v>
      </c>
    </row>
    <row r="110" spans="1:13" ht="20.100000000000001" customHeight="1" x14ac:dyDescent="0.15">
      <c r="A110" s="21" t="s">
        <v>85</v>
      </c>
      <c r="B110" s="2" t="s">
        <v>87</v>
      </c>
      <c r="C110" s="2">
        <v>40</v>
      </c>
      <c r="D110" s="3">
        <v>75.258688524590198</v>
      </c>
      <c r="E110" s="3">
        <v>65.1947368421053</v>
      </c>
      <c r="F110" s="38">
        <f t="shared" si="33"/>
        <v>0.86627521845272903</v>
      </c>
      <c r="G110" s="17">
        <v>7</v>
      </c>
      <c r="H110" s="25" t="s">
        <v>91</v>
      </c>
      <c r="I110" s="17">
        <v>5</v>
      </c>
      <c r="J110" s="17">
        <v>6</v>
      </c>
      <c r="K110" s="17">
        <f t="shared" si="34"/>
        <v>768</v>
      </c>
      <c r="L110" s="33">
        <f t="shared" si="35"/>
        <v>1002.6163599617</v>
      </c>
      <c r="M110" s="33">
        <f t="shared" si="36"/>
        <v>1770.6163599617</v>
      </c>
    </row>
    <row r="111" spans="1:13" x14ac:dyDescent="0.15">
      <c r="A111" s="4"/>
      <c r="B111" s="4"/>
      <c r="C111" s="4"/>
      <c r="D111" s="13"/>
      <c r="E111" s="26"/>
      <c r="F111" s="27"/>
      <c r="G111" s="15"/>
      <c r="H111" s="4"/>
      <c r="I111" s="20"/>
      <c r="J111" s="17" t="s">
        <v>20</v>
      </c>
      <c r="K111" s="34">
        <f>SUM(K104:K110)</f>
        <v>5376</v>
      </c>
      <c r="L111" s="34">
        <f>SUM(L104:L110)</f>
        <v>8064</v>
      </c>
      <c r="M111" s="34">
        <f t="shared" si="36"/>
        <v>13440</v>
      </c>
    </row>
  </sheetData>
  <mergeCells count="6">
    <mergeCell ref="I90:J90"/>
    <mergeCell ref="A1:C1"/>
    <mergeCell ref="I45:J45"/>
    <mergeCell ref="I56:J56"/>
    <mergeCell ref="I67:J67"/>
    <mergeCell ref="I78:J78"/>
  </mergeCells>
  <phoneticPr fontId="1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0"/>
  <sheetViews>
    <sheetView tabSelected="1" zoomScale="90" zoomScaleNormal="90" workbookViewId="0">
      <selection activeCell="M14" sqref="M14"/>
    </sheetView>
  </sheetViews>
  <sheetFormatPr defaultColWidth="9" defaultRowHeight="13.5" x14ac:dyDescent="0.15"/>
  <cols>
    <col min="1" max="1" width="12.375" customWidth="1"/>
    <col min="2" max="2" width="15.5" customWidth="1"/>
    <col min="3" max="3" width="15.125" customWidth="1"/>
    <col min="4" max="4" width="20.625" customWidth="1"/>
    <col min="5" max="5" width="18" customWidth="1"/>
    <col min="7" max="8" width="12.625"/>
  </cols>
  <sheetData>
    <row r="1" spans="1:5" ht="30" customHeight="1" x14ac:dyDescent="0.15">
      <c r="A1" s="1" t="s">
        <v>1</v>
      </c>
      <c r="B1" s="2" t="s">
        <v>29</v>
      </c>
      <c r="C1" s="2" t="s">
        <v>147</v>
      </c>
      <c r="D1" s="2" t="s">
        <v>148</v>
      </c>
      <c r="E1" s="2" t="s">
        <v>149</v>
      </c>
    </row>
    <row r="2" spans="1:5" ht="30" customHeight="1" x14ac:dyDescent="0.15">
      <c r="A2" s="82" t="s">
        <v>35</v>
      </c>
      <c r="B2" s="2" t="s">
        <v>77</v>
      </c>
      <c r="C2" s="3">
        <f>质量奖!M58+质量奖!M63</f>
        <v>6388.39689621876</v>
      </c>
      <c r="D2" s="3"/>
      <c r="E2" s="87">
        <f>SUM(C2:C10)</f>
        <v>85600</v>
      </c>
    </row>
    <row r="3" spans="1:5" ht="30" customHeight="1" x14ac:dyDescent="0.15">
      <c r="A3" s="83"/>
      <c r="B3" s="2" t="s">
        <v>47</v>
      </c>
      <c r="C3" s="3">
        <f>质量奖!M62+质量奖!M25+进步奖!M53</f>
        <v>10924.689376494</v>
      </c>
      <c r="D3" s="3"/>
      <c r="E3" s="88"/>
    </row>
    <row r="4" spans="1:5" ht="30" customHeight="1" x14ac:dyDescent="0.15">
      <c r="A4" s="83"/>
      <c r="B4" s="2" t="s">
        <v>79</v>
      </c>
      <c r="C4" s="3">
        <f>质量奖!M59+质量奖!M60</f>
        <v>6452.9614649525802</v>
      </c>
      <c r="D4" s="3"/>
      <c r="E4" s="88"/>
    </row>
    <row r="5" spans="1:5" ht="30" customHeight="1" x14ac:dyDescent="0.15">
      <c r="A5" s="83"/>
      <c r="B5" s="2" t="s">
        <v>39</v>
      </c>
      <c r="C5" s="3">
        <f>质量奖!M61+质量奖!M21+进步奖!M49</f>
        <v>11827.9812701301</v>
      </c>
      <c r="D5" s="3"/>
      <c r="E5" s="88"/>
    </row>
    <row r="6" spans="1:5" ht="30" customHeight="1" x14ac:dyDescent="0.15">
      <c r="A6" s="83"/>
      <c r="B6" s="2" t="s">
        <v>45</v>
      </c>
      <c r="C6" s="3">
        <f>质量奖!M24+质量奖!M64+进步奖!M52</f>
        <v>11205.589328672901</v>
      </c>
      <c r="D6" s="3"/>
      <c r="E6" s="88"/>
    </row>
    <row r="7" spans="1:5" ht="30" customHeight="1" x14ac:dyDescent="0.15">
      <c r="A7" s="83"/>
      <c r="B7" s="2" t="s">
        <v>150</v>
      </c>
      <c r="C7" s="3">
        <f>质量奖!M65*0.5+质量奖!M23*0.8+进步奖!M51*0.8</f>
        <v>8042.94232813491</v>
      </c>
      <c r="D7" s="3"/>
      <c r="E7" s="88"/>
    </row>
    <row r="8" spans="1:5" ht="30" customHeight="1" x14ac:dyDescent="0.15">
      <c r="A8" s="83"/>
      <c r="B8" s="2" t="s">
        <v>36</v>
      </c>
      <c r="C8" s="3">
        <f>质量奖!M19+质量奖!M20+进步奖!M47+进步奖!M48</f>
        <v>19173.294649798401</v>
      </c>
      <c r="D8" s="3"/>
      <c r="E8" s="88"/>
    </row>
    <row r="9" spans="1:5" ht="30" customHeight="1" x14ac:dyDescent="0.15">
      <c r="A9" s="83"/>
      <c r="B9" s="2" t="s">
        <v>41</v>
      </c>
      <c r="C9" s="3">
        <f>质量奖!M22+进步奖!M50</f>
        <v>8674.7918986495806</v>
      </c>
      <c r="D9" s="3"/>
      <c r="E9" s="88"/>
    </row>
    <row r="10" spans="1:5" ht="30" customHeight="1" x14ac:dyDescent="0.15">
      <c r="A10" s="84"/>
      <c r="B10" s="2" t="s">
        <v>151</v>
      </c>
      <c r="C10" s="3">
        <f>质量奖!M65*0.5+质量奖!M23*0.2+进步奖!M51*0.2</f>
        <v>2909.3527869487898</v>
      </c>
      <c r="D10" s="3"/>
      <c r="E10" s="89"/>
    </row>
    <row r="11" spans="1:5" ht="30" customHeight="1" x14ac:dyDescent="0.15">
      <c r="A11" s="82" t="s">
        <v>56</v>
      </c>
      <c r="B11" s="2" t="s">
        <v>97</v>
      </c>
      <c r="C11" s="3">
        <f>质量奖!M90+进步奖!M28</f>
        <v>9511.4153294318603</v>
      </c>
      <c r="D11" s="3"/>
      <c r="E11" s="87">
        <f>SUM(C11:C19)</f>
        <v>116800</v>
      </c>
    </row>
    <row r="12" spans="1:5" ht="30" customHeight="1" x14ac:dyDescent="0.15">
      <c r="A12" s="83"/>
      <c r="B12" s="2" t="s">
        <v>98</v>
      </c>
      <c r="C12" s="3">
        <f>质量奖!M91+质量奖!M93+进步奖!M29+进步奖!M31</f>
        <v>18092.032765432501</v>
      </c>
      <c r="D12" s="3"/>
      <c r="E12" s="88"/>
    </row>
    <row r="13" spans="1:5" ht="30" customHeight="1" x14ac:dyDescent="0.15">
      <c r="A13" s="83"/>
      <c r="B13" s="2" t="s">
        <v>59</v>
      </c>
      <c r="C13" s="3">
        <f>质量奖!M92+质量奖!M38+进步奖!M30+进步奖!M60</f>
        <v>15514.427422295899</v>
      </c>
      <c r="D13" s="3"/>
      <c r="E13" s="88"/>
    </row>
    <row r="14" spans="1:5" ht="30" customHeight="1" x14ac:dyDescent="0.15">
      <c r="A14" s="83"/>
      <c r="B14" s="2" t="s">
        <v>62</v>
      </c>
      <c r="C14" s="3">
        <f>质量奖!M42+质量奖!M95+进步奖!M64+进步奖!M33</f>
        <v>14966.7063230564</v>
      </c>
      <c r="D14" s="3"/>
      <c r="E14" s="88"/>
    </row>
    <row r="15" spans="1:5" ht="30" customHeight="1" x14ac:dyDescent="0.15">
      <c r="A15" s="83"/>
      <c r="B15" s="2" t="s">
        <v>60</v>
      </c>
      <c r="C15" s="3">
        <f>质量奖!M94+质量奖!M40+进步奖!M32+进步奖!M62</f>
        <v>15318.281754372199</v>
      </c>
      <c r="D15" s="3"/>
      <c r="E15" s="88"/>
    </row>
    <row r="16" spans="1:5" ht="30" customHeight="1" x14ac:dyDescent="0.15">
      <c r="A16" s="83"/>
      <c r="B16" s="2" t="s">
        <v>58</v>
      </c>
      <c r="C16" s="3">
        <f>质量奖!M37+质量奖!M39+质量奖!M97*0.5+进步奖!M61+进步奖!M59+进步奖!M35*0.5</f>
        <v>17333.726873585099</v>
      </c>
      <c r="D16" s="3"/>
      <c r="E16" s="88"/>
    </row>
    <row r="17" spans="1:5" ht="30" customHeight="1" x14ac:dyDescent="0.15">
      <c r="A17" s="83"/>
      <c r="B17" s="2" t="s">
        <v>57</v>
      </c>
      <c r="C17" s="3">
        <f>质量奖!M96+质量奖!M36+进步奖!M34+进步奖!M58</f>
        <v>15414.0786227633</v>
      </c>
      <c r="D17" s="3"/>
      <c r="E17" s="88"/>
    </row>
    <row r="18" spans="1:5" ht="30" customHeight="1" x14ac:dyDescent="0.15">
      <c r="A18" s="83"/>
      <c r="B18" s="2" t="s">
        <v>61</v>
      </c>
      <c r="C18" s="3">
        <f>质量奖!M41+进步奖!M63</f>
        <v>6262.3650941197902</v>
      </c>
      <c r="D18" s="3"/>
      <c r="E18" s="88"/>
    </row>
    <row r="19" spans="1:5" ht="30" customHeight="1" x14ac:dyDescent="0.15">
      <c r="A19" s="83"/>
      <c r="B19" s="2" t="s">
        <v>152</v>
      </c>
      <c r="C19" s="3">
        <f>质量奖!M97*0.5+进步奖!M35*0.5</f>
        <v>4386.9658149430197</v>
      </c>
      <c r="D19" s="3"/>
      <c r="E19" s="88"/>
    </row>
    <row r="20" spans="1:5" ht="30" customHeight="1" x14ac:dyDescent="0.15">
      <c r="A20" s="82" t="s">
        <v>112</v>
      </c>
      <c r="B20" s="2" t="s">
        <v>113</v>
      </c>
      <c r="C20" s="3">
        <f>质量奖!M123+质量奖!M127+进步奖!M92+进步奖!M96</f>
        <v>4240.9699902770899</v>
      </c>
      <c r="D20" s="3"/>
      <c r="E20" s="87">
        <f>SUM(C20:C26)</f>
        <v>14880</v>
      </c>
    </row>
    <row r="21" spans="1:5" ht="30" customHeight="1" x14ac:dyDescent="0.15">
      <c r="A21" s="83"/>
      <c r="B21" s="2" t="s">
        <v>115</v>
      </c>
      <c r="C21" s="3">
        <f>质量奖!M125+进步奖!M94</f>
        <v>1952.68480226317</v>
      </c>
      <c r="D21" s="3"/>
      <c r="E21" s="88"/>
    </row>
    <row r="22" spans="1:5" ht="30" customHeight="1" x14ac:dyDescent="0.15">
      <c r="A22" s="83"/>
      <c r="B22" s="2" t="s">
        <v>116</v>
      </c>
      <c r="C22" s="3">
        <f>质量奖!M126+进步奖!M95</f>
        <v>1824.3809219657001</v>
      </c>
      <c r="D22" s="3"/>
      <c r="E22" s="88"/>
    </row>
    <row r="23" spans="1:5" ht="30" customHeight="1" x14ac:dyDescent="0.15">
      <c r="A23" s="83"/>
      <c r="B23" s="2" t="s">
        <v>114</v>
      </c>
      <c r="C23" s="3">
        <f>质量奖!M124+进步奖!M93</f>
        <v>2053.9996271528798</v>
      </c>
      <c r="D23" s="3"/>
      <c r="E23" s="88"/>
    </row>
    <row r="24" spans="1:5" ht="30" customHeight="1" x14ac:dyDescent="0.15">
      <c r="A24" s="83"/>
      <c r="B24" s="2" t="s">
        <v>117</v>
      </c>
      <c r="C24" s="3">
        <f>质量奖!M128+进步奖!M97</f>
        <v>1802.0608884497999</v>
      </c>
      <c r="D24" s="3"/>
      <c r="E24" s="88"/>
    </row>
    <row r="25" spans="1:5" ht="30" customHeight="1" x14ac:dyDescent="0.15">
      <c r="A25" s="83"/>
      <c r="B25" s="2" t="s">
        <v>119</v>
      </c>
      <c r="C25" s="3">
        <f>质量奖!M130+进步奖!M99</f>
        <v>1478.0014625128599</v>
      </c>
      <c r="D25" s="3"/>
      <c r="E25" s="88"/>
    </row>
    <row r="26" spans="1:5" ht="30" customHeight="1" x14ac:dyDescent="0.15">
      <c r="A26" s="83"/>
      <c r="B26" s="2" t="s">
        <v>118</v>
      </c>
      <c r="C26" s="3">
        <f>质量奖!M129+进步奖!M98</f>
        <v>1527.9023073784899</v>
      </c>
      <c r="D26" s="3"/>
      <c r="E26" s="88"/>
    </row>
    <row r="27" spans="1:5" ht="30" customHeight="1" x14ac:dyDescent="0.15">
      <c r="A27" s="82" t="s">
        <v>140</v>
      </c>
      <c r="B27" s="2" t="s">
        <v>141</v>
      </c>
      <c r="C27" s="3">
        <f>进步奖!M80+进步奖!M86</f>
        <v>2004.2304251683599</v>
      </c>
      <c r="D27" s="3"/>
      <c r="E27" s="87">
        <f>SUM(C27:C30)</f>
        <v>7680</v>
      </c>
    </row>
    <row r="28" spans="1:5" ht="30" customHeight="1" x14ac:dyDescent="0.15">
      <c r="A28" s="83"/>
      <c r="B28" s="2" t="s">
        <v>144</v>
      </c>
      <c r="C28" s="3">
        <f>进步奖!M83+进步奖!M87</f>
        <v>1811.62402825751</v>
      </c>
      <c r="D28" s="3"/>
      <c r="E28" s="88"/>
    </row>
    <row r="29" spans="1:5" ht="30" customHeight="1" x14ac:dyDescent="0.15">
      <c r="A29" s="83"/>
      <c r="B29" s="2" t="s">
        <v>142</v>
      </c>
      <c r="C29" s="3">
        <f>进步奖!M84+进步奖!M81</f>
        <v>1978.5155271824499</v>
      </c>
      <c r="D29" s="3"/>
      <c r="E29" s="88"/>
    </row>
    <row r="30" spans="1:5" ht="30" customHeight="1" x14ac:dyDescent="0.15">
      <c r="A30" s="84"/>
      <c r="B30" s="2" t="s">
        <v>143</v>
      </c>
      <c r="C30" s="3">
        <f>进步奖!M85+进步奖!M82</f>
        <v>1885.63001939167</v>
      </c>
      <c r="D30" s="3"/>
      <c r="E30" s="89"/>
    </row>
    <row r="31" spans="1:5" ht="30" customHeight="1" x14ac:dyDescent="0.15">
      <c r="A31" s="85" t="s">
        <v>87</v>
      </c>
      <c r="B31" s="2" t="s">
        <v>88</v>
      </c>
      <c r="C31" s="3">
        <f>质量奖!M70+质量奖!M75+进步奖!M104+进步奖!M109</f>
        <v>8774.7514809748409</v>
      </c>
      <c r="D31" s="3"/>
      <c r="E31" s="85">
        <f>SUM(C31:C34)</f>
        <v>30240</v>
      </c>
    </row>
    <row r="32" spans="1:5" ht="30" customHeight="1" x14ac:dyDescent="0.15">
      <c r="A32" s="85"/>
      <c r="B32" s="2" t="s">
        <v>90</v>
      </c>
      <c r="C32" s="3">
        <f>质量奖!M72+质量奖!M73+进步奖!M106+进步奖!M107</f>
        <v>8789.3974933219306</v>
      </c>
      <c r="D32" s="3"/>
      <c r="E32" s="85"/>
    </row>
    <row r="33" spans="1:5" ht="30" customHeight="1" x14ac:dyDescent="0.15">
      <c r="A33" s="85"/>
      <c r="B33" s="2" t="s">
        <v>89</v>
      </c>
      <c r="C33" s="3">
        <f>质量奖!M71+进步奖!M105</f>
        <v>4521.6078893808799</v>
      </c>
      <c r="D33" s="3"/>
      <c r="E33" s="85"/>
    </row>
    <row r="34" spans="1:5" ht="30" customHeight="1" x14ac:dyDescent="0.15">
      <c r="A34" s="85"/>
      <c r="B34" s="2" t="s">
        <v>91</v>
      </c>
      <c r="C34" s="3">
        <f>质量奖!M74+质量奖!M76+进步奖!M108+进步奖!M110</f>
        <v>8154.2431363223504</v>
      </c>
      <c r="D34" s="3"/>
      <c r="E34" s="85"/>
    </row>
    <row r="35" spans="1:5" ht="30" customHeight="1" x14ac:dyDescent="0.15">
      <c r="A35" s="85" t="s">
        <v>50</v>
      </c>
      <c r="B35" s="2" t="s">
        <v>93</v>
      </c>
      <c r="C35" s="3">
        <f>质量奖!M81+质量奖!M82</f>
        <v>3000.5178655208201</v>
      </c>
      <c r="D35" s="3"/>
      <c r="E35" s="85">
        <f>SUM(C35:C37)</f>
        <v>12000</v>
      </c>
    </row>
    <row r="36" spans="1:5" ht="30" customHeight="1" x14ac:dyDescent="0.15">
      <c r="A36" s="85"/>
      <c r="B36" s="2" t="s">
        <v>53</v>
      </c>
      <c r="C36" s="3">
        <f>质量奖!M31+质量奖!M84</f>
        <v>3716.0146146895299</v>
      </c>
      <c r="D36" s="3"/>
      <c r="E36" s="85"/>
    </row>
    <row r="37" spans="1:5" ht="30" customHeight="1" x14ac:dyDescent="0.15">
      <c r="A37" s="85"/>
      <c r="B37" s="2" t="s">
        <v>51</v>
      </c>
      <c r="C37" s="3">
        <f>质量奖!M30+质量奖!M83+质量奖!M85</f>
        <v>5283.4675197896604</v>
      </c>
      <c r="D37" s="3"/>
      <c r="E37" s="85"/>
    </row>
    <row r="38" spans="1:5" ht="30" customHeight="1" x14ac:dyDescent="0.15">
      <c r="A38" s="86" t="s">
        <v>65</v>
      </c>
      <c r="B38" s="2" t="s">
        <v>66</v>
      </c>
      <c r="C38" s="3">
        <f>质量奖!M47+质量奖!M53+进步奖!M69+进步奖!M75</f>
        <v>5367.9547502429696</v>
      </c>
      <c r="D38" s="3"/>
      <c r="E38" s="85">
        <f>SUM(C38:C41)</f>
        <v>18720</v>
      </c>
    </row>
    <row r="39" spans="1:5" ht="30" customHeight="1" x14ac:dyDescent="0.15">
      <c r="A39" s="86"/>
      <c r="B39" s="2" t="s">
        <v>68</v>
      </c>
      <c r="C39" s="3">
        <f>质量奖!M48+质量奖!M49+进步奖!M70+进步奖!M71+质量奖!M50*0.5+进步奖!M72*0.5</f>
        <v>6809.2619290147504</v>
      </c>
      <c r="D39" s="3"/>
      <c r="E39" s="85"/>
    </row>
    <row r="40" spans="1:5" ht="30" customHeight="1" x14ac:dyDescent="0.15">
      <c r="A40" s="86"/>
      <c r="B40" s="2" t="s">
        <v>153</v>
      </c>
      <c r="C40" s="3">
        <f>质量奖!M50*0.5+质量奖!M51*0.5+进步奖!M72*0.5+进步奖!M73*0.5</f>
        <v>2661.50140221315</v>
      </c>
      <c r="D40" s="3"/>
      <c r="E40" s="85"/>
    </row>
    <row r="41" spans="1:5" ht="30" customHeight="1" x14ac:dyDescent="0.15">
      <c r="A41" s="86"/>
      <c r="B41" s="2" t="s">
        <v>73</v>
      </c>
      <c r="C41" s="3">
        <f>质量奖!M52+进步奖!M74+质量奖!M51*0.5+进步奖!M73*0.5</f>
        <v>3881.2819185291401</v>
      </c>
      <c r="D41" s="3"/>
      <c r="E41" s="85"/>
    </row>
    <row r="42" spans="1:5" ht="30" customHeight="1" x14ac:dyDescent="0.15">
      <c r="A42" s="85" t="s">
        <v>101</v>
      </c>
      <c r="B42" s="2" t="s">
        <v>102</v>
      </c>
      <c r="C42" s="3">
        <f>质量奖!M102+质量奖!M105+进步奖!M16+进步奖!M19</f>
        <v>11117.8215465677</v>
      </c>
      <c r="D42" s="3"/>
      <c r="E42" s="85">
        <f>SUM(C42:C45)</f>
        <v>36960</v>
      </c>
    </row>
    <row r="43" spans="1:5" ht="30" customHeight="1" x14ac:dyDescent="0.15">
      <c r="A43" s="85"/>
      <c r="B43" s="2" t="s">
        <v>104</v>
      </c>
      <c r="C43" s="3">
        <f>质量奖!M104+质量奖!M106+进步奖!M18+进步奖!M20</f>
        <v>10446.1036856313</v>
      </c>
      <c r="D43" s="3"/>
      <c r="E43" s="85"/>
    </row>
    <row r="44" spans="1:5" ht="30" customHeight="1" x14ac:dyDescent="0.15">
      <c r="A44" s="85"/>
      <c r="B44" s="2" t="s">
        <v>105</v>
      </c>
      <c r="C44" s="3">
        <f>质量奖!M107+进步奖!M21</f>
        <v>5093.5912062304196</v>
      </c>
      <c r="D44" s="3"/>
      <c r="E44" s="85"/>
    </row>
    <row r="45" spans="1:5" ht="30" customHeight="1" x14ac:dyDescent="0.15">
      <c r="A45" s="85"/>
      <c r="B45" s="2" t="s">
        <v>103</v>
      </c>
      <c r="C45" s="3">
        <f>质量奖!M103+质量奖!M108+进步奖!M17+进步奖!M22</f>
        <v>10302.4835615705</v>
      </c>
      <c r="D45" s="3"/>
      <c r="E45" s="85"/>
    </row>
    <row r="46" spans="1:5" ht="30" customHeight="1" x14ac:dyDescent="0.15">
      <c r="A46" s="85" t="s">
        <v>107</v>
      </c>
      <c r="B46" s="2" t="s">
        <v>108</v>
      </c>
      <c r="C46" s="3">
        <f>质量奖!M136+质量奖!M113+进步奖!M40</f>
        <v>6215.5996662451498</v>
      </c>
      <c r="D46" s="3"/>
      <c r="E46" s="85">
        <f>SUM(C46:C49)</f>
        <v>19200</v>
      </c>
    </row>
    <row r="47" spans="1:5" ht="30" customHeight="1" x14ac:dyDescent="0.15">
      <c r="A47" s="85"/>
      <c r="B47" s="2" t="s">
        <v>122</v>
      </c>
      <c r="C47" s="3">
        <f>质量奖!M137+进步奖!M41</f>
        <v>5486.2476163190804</v>
      </c>
      <c r="D47" s="3"/>
      <c r="E47" s="85"/>
    </row>
    <row r="48" spans="1:5" ht="30" customHeight="1" x14ac:dyDescent="0.15">
      <c r="A48" s="85"/>
      <c r="B48" s="2" t="s">
        <v>109</v>
      </c>
      <c r="C48" s="3">
        <f>质量奖!M138+质量奖!M116+质量奖!M114+进步奖!M42</f>
        <v>6378.1092617015702</v>
      </c>
      <c r="D48" s="3"/>
      <c r="E48" s="85"/>
    </row>
    <row r="49" spans="1:5" ht="30" customHeight="1" x14ac:dyDescent="0.15">
      <c r="A49" s="85"/>
      <c r="B49" s="2" t="s">
        <v>110</v>
      </c>
      <c r="C49" s="3">
        <f>质量奖!M115+质量奖!M117</f>
        <v>1120.04345573419</v>
      </c>
      <c r="D49" s="3"/>
      <c r="E49" s="85"/>
    </row>
    <row r="50" spans="1:5" ht="30" customHeight="1" x14ac:dyDescent="0.15">
      <c r="A50" s="2" t="s">
        <v>20</v>
      </c>
      <c r="B50" s="2"/>
      <c r="C50" s="2"/>
      <c r="D50" s="2"/>
      <c r="E50" s="2">
        <f>SUM(E2:E49)</f>
        <v>342080</v>
      </c>
    </row>
  </sheetData>
  <mergeCells count="18">
    <mergeCell ref="A35:A37"/>
    <mergeCell ref="A38:A41"/>
    <mergeCell ref="A42:A45"/>
    <mergeCell ref="A46:A49"/>
    <mergeCell ref="E2:E10"/>
    <mergeCell ref="E11:E19"/>
    <mergeCell ref="E20:E26"/>
    <mergeCell ref="E27:E30"/>
    <mergeCell ref="E31:E34"/>
    <mergeCell ref="E35:E37"/>
    <mergeCell ref="E38:E41"/>
    <mergeCell ref="E42:E45"/>
    <mergeCell ref="E46:E49"/>
    <mergeCell ref="A2:A10"/>
    <mergeCell ref="A11:A19"/>
    <mergeCell ref="A20:A26"/>
    <mergeCell ref="A27:A30"/>
    <mergeCell ref="A31:A34"/>
  </mergeCells>
  <phoneticPr fontId="1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质量奖</vt:lpstr>
      <vt:lpstr>进步奖</vt:lpstr>
      <vt:lpstr>合计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huaqiang ji</cp:lastModifiedBy>
  <dcterms:created xsi:type="dcterms:W3CDTF">2023-05-12T11:15:00Z</dcterms:created>
  <dcterms:modified xsi:type="dcterms:W3CDTF">2025-03-30T10:15:16Z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A6152AF3055E453182D754A03D54EE8D_12</vt:lpwstr>
  </property>
</Properties>
</file>