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质量奖" sheetId="1" r:id="rId1"/>
    <sheet name="进步奖" sheetId="2" r:id="rId2"/>
    <sheet name="合计" sheetId="3" r:id="rId3"/>
  </sheets>
  <externalReferences>
    <externalReference r:id="rId4"/>
  </externalReferences>
  <definedNames>
    <definedName name="科类">[1]成绩册!$F$3:$F$613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<sst xmlns="http://schemas.openxmlformats.org/spreadsheetml/2006/main" count="451" uniqueCount="117">
  <si>
    <t>高二教学质量奖</t>
  </si>
  <si>
    <t>科目</t>
  </si>
  <si>
    <t>奖项</t>
  </si>
  <si>
    <t>奖励金额/元</t>
  </si>
  <si>
    <t>实发金额/元</t>
  </si>
  <si>
    <t>高二物理类语文</t>
  </si>
  <si>
    <t>三等奖</t>
  </si>
  <si>
    <t>高二物理类数学</t>
  </si>
  <si>
    <t>高二物理类化学</t>
  </si>
  <si>
    <t>高二物理类生物</t>
  </si>
  <si>
    <t>二等奖</t>
  </si>
  <si>
    <t>高二物理类地理</t>
  </si>
  <si>
    <t>高二历史类语文</t>
  </si>
  <si>
    <t>高二历史类数学</t>
  </si>
  <si>
    <t>高二历史类历史</t>
  </si>
  <si>
    <t>合计</t>
  </si>
  <si>
    <t>1.高二物理类语文</t>
  </si>
  <si>
    <t>工作量</t>
  </si>
  <si>
    <t>班级</t>
  </si>
  <si>
    <t>参考人数</t>
  </si>
  <si>
    <t xml:space="preserve">年级平均分 </t>
  </si>
  <si>
    <t>班平均分</t>
  </si>
  <si>
    <t>班平均分/年级平均分</t>
  </si>
  <si>
    <t>名次</t>
  </si>
  <si>
    <t>任课课师</t>
  </si>
  <si>
    <t>上期课时</t>
  </si>
  <si>
    <t>下期课时</t>
  </si>
  <si>
    <t>课时奖</t>
  </si>
  <si>
    <t>贡献奖</t>
  </si>
  <si>
    <t>高二年级（1）班</t>
  </si>
  <si>
    <t>语文</t>
  </si>
  <si>
    <t xml:space="preserve">张玉婷 </t>
  </si>
  <si>
    <t>高二年级（3）班</t>
  </si>
  <si>
    <t>朱霞/康义美</t>
  </si>
  <si>
    <t>高二年级（2）班</t>
  </si>
  <si>
    <t>刘权芳</t>
  </si>
  <si>
    <t>高二年级（6）班</t>
  </si>
  <si>
    <t>张镇鹏</t>
  </si>
  <si>
    <t>高二年级（4）班</t>
  </si>
  <si>
    <t>向美娟/刘权芳</t>
  </si>
  <si>
    <t>高二年级（5）班</t>
  </si>
  <si>
    <t>吉尔伍呷</t>
  </si>
  <si>
    <t>高二年级（7）班</t>
  </si>
  <si>
    <t>叶屏</t>
  </si>
  <si>
    <t>高二年级（8）班</t>
  </si>
  <si>
    <t>刘云菊</t>
  </si>
  <si>
    <t>2.高二物理类数学</t>
  </si>
  <si>
    <t xml:space="preserve"> </t>
  </si>
  <si>
    <t>数学</t>
  </si>
  <si>
    <t>胡付松</t>
  </si>
  <si>
    <t>黄金华</t>
  </si>
  <si>
    <t>李希/蒋林/黄金华</t>
  </si>
  <si>
    <t>王德兵</t>
  </si>
  <si>
    <t>余玉红</t>
  </si>
  <si>
    <t>许帅</t>
  </si>
  <si>
    <t>扎西龙布</t>
  </si>
  <si>
    <t>3.高二物理类化学</t>
  </si>
  <si>
    <t>化学</t>
  </si>
  <si>
    <t>郑富全</t>
  </si>
  <si>
    <t>陈文惠/崔萌</t>
  </si>
  <si>
    <t>叶仁群</t>
  </si>
  <si>
    <t>宁建康</t>
  </si>
  <si>
    <t>崔萌</t>
  </si>
  <si>
    <t>方帮林</t>
  </si>
  <si>
    <t>4.高二物理类生物</t>
  </si>
  <si>
    <t>生物</t>
  </si>
  <si>
    <t>尤顺芝</t>
  </si>
  <si>
    <t>卢祥</t>
  </si>
  <si>
    <t>喇菊</t>
  </si>
  <si>
    <t>5.高二物理类地理</t>
  </si>
  <si>
    <t>地理</t>
  </si>
  <si>
    <t>群群</t>
  </si>
  <si>
    <t>6.高二历史类语文</t>
  </si>
  <si>
    <t>高二年级（10 ）班</t>
  </si>
  <si>
    <t>向美娟/吉尔伍呷</t>
  </si>
  <si>
    <t>高二年级（9 ）班</t>
  </si>
  <si>
    <t>高二年级（13 ）班</t>
  </si>
  <si>
    <t>高二年级（14 ）班</t>
  </si>
  <si>
    <t>高二年级（12 ）班</t>
  </si>
  <si>
    <t>高二年级（11 ）班</t>
  </si>
  <si>
    <t>高二年级（16 ）班</t>
  </si>
  <si>
    <t>康义美</t>
  </si>
  <si>
    <t>高二年级（15 ）班</t>
  </si>
  <si>
    <t>7.高二历史类数学</t>
  </si>
  <si>
    <t>许帅/王丽</t>
  </si>
  <si>
    <t>王丽</t>
  </si>
  <si>
    <t xml:space="preserve">李希/扎西龙布 </t>
  </si>
  <si>
    <t>念六平</t>
  </si>
  <si>
    <t>8.高二历史类历史</t>
  </si>
  <si>
    <t>高二年级（10）班</t>
  </si>
  <si>
    <t>历史</t>
  </si>
  <si>
    <t>赵香才</t>
  </si>
  <si>
    <t>高二年级（9）班</t>
  </si>
  <si>
    <t>胡慧芳/偏初</t>
  </si>
  <si>
    <t>高二年级（14）班</t>
  </si>
  <si>
    <t>杨国芬</t>
  </si>
  <si>
    <t>高二年级（11）班</t>
  </si>
  <si>
    <t>高二年级（12）班</t>
  </si>
  <si>
    <t>周宇竹</t>
  </si>
  <si>
    <t>高二年级（15）班</t>
  </si>
  <si>
    <t>高二年级（13）班</t>
  </si>
  <si>
    <t>高二年级（16）班</t>
  </si>
  <si>
    <t>偏初</t>
  </si>
  <si>
    <t>高二教学质量进步奖</t>
  </si>
  <si>
    <t>高二历史类历史（8个班）</t>
  </si>
  <si>
    <t>2.高二类历史类历史</t>
  </si>
  <si>
    <t>胡慧芳</t>
  </si>
  <si>
    <t>姓名</t>
  </si>
  <si>
    <t>金额</t>
  </si>
  <si>
    <t>奖金</t>
  </si>
  <si>
    <t>签字</t>
  </si>
  <si>
    <t>组内合计</t>
  </si>
  <si>
    <t>向美娟</t>
  </si>
  <si>
    <t>朱霞</t>
  </si>
  <si>
    <t>蒋林</t>
  </si>
  <si>
    <t>李希</t>
  </si>
  <si>
    <t>陈文惠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</si>
</sst>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177" fontId="7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7" fontId="4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10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7" fontId="10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8" fillId="0" borderId="1" xfId="3" applyNumberFormat="1" applyFont="1" applyFill="1" applyBorder="1" applyAlignment="1" applyProtection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enjihong\Desktop\2024&#23626;&#25856;&#26525;&#33457;&#20108;&#32479;&#25968;&#25454;&#20998;&#26512;(&#32479;&#38405;&#292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绩册"/>
      <sheetName val="简易分析"/>
      <sheetName val="考核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workbookViewId="0">
      <pane ySplit="15" topLeftCell="A16" activePane="bottomLeft" state="frozen"/>
      <selection/>
      <selection pane="bottomLeft" activeCell="F7" sqref="F7"/>
    </sheetView>
  </sheetViews>
  <sheetFormatPr defaultColWidth="9" defaultRowHeight="13.5"/>
  <cols>
    <col min="1" max="1" width="24.875" customWidth="1"/>
    <col min="2" max="2" width="9.125" customWidth="1"/>
    <col min="3" max="4" width="12" customWidth="1"/>
    <col min="5" max="5" width="8.875" customWidth="1"/>
    <col min="6" max="6" width="20.25" customWidth="1"/>
    <col min="7" max="7" width="5.125" customWidth="1"/>
    <col min="8" max="8" width="17.25" customWidth="1"/>
    <col min="9" max="10" width="8.875" customWidth="1"/>
    <col min="11" max="11" width="12.625" customWidth="1"/>
    <col min="12" max="13" width="12.5" customWidth="1"/>
  </cols>
  <sheetData>
    <row r="1" ht="20.1" customHeight="1" spans="1:13">
      <c r="A1" s="13" t="s">
        <v>0</v>
      </c>
      <c r="B1" s="13"/>
      <c r="C1" s="13"/>
      <c r="D1" s="14"/>
      <c r="E1" s="26"/>
      <c r="F1" s="26"/>
      <c r="G1" s="26"/>
      <c r="H1" s="26"/>
      <c r="I1" s="26"/>
      <c r="J1" s="26"/>
      <c r="K1" s="14"/>
      <c r="L1" s="14"/>
      <c r="M1" s="14"/>
    </row>
    <row r="2" ht="20.1" customHeight="1" spans="1:13">
      <c r="A2" s="14" t="s">
        <v>1</v>
      </c>
      <c r="B2" s="14" t="s">
        <v>2</v>
      </c>
      <c r="C2" s="16" t="s">
        <v>3</v>
      </c>
      <c r="D2" s="17" t="s">
        <v>4</v>
      </c>
      <c r="E2" s="26"/>
      <c r="F2" s="26"/>
      <c r="G2" s="26"/>
      <c r="H2" s="26"/>
      <c r="I2" s="26"/>
      <c r="J2" s="26"/>
      <c r="K2" s="14"/>
      <c r="L2" s="14"/>
      <c r="M2" s="14"/>
    </row>
    <row r="3" ht="20.1" customHeight="1" spans="1:13">
      <c r="A3" s="18" t="s">
        <v>5</v>
      </c>
      <c r="B3" s="19" t="s">
        <v>6</v>
      </c>
      <c r="C3" s="19">
        <f>3000*6</f>
        <v>18000</v>
      </c>
      <c r="D3" s="20">
        <f t="shared" ref="D3:D14" si="0">C3*0.8</f>
        <v>14400</v>
      </c>
      <c r="E3" s="26"/>
      <c r="F3" s="26"/>
      <c r="G3" s="26"/>
      <c r="H3" s="26"/>
      <c r="I3" s="26"/>
      <c r="J3" s="26"/>
      <c r="K3" s="14"/>
      <c r="L3" s="14"/>
      <c r="M3" s="14"/>
    </row>
    <row r="4" ht="20.1" customHeight="1" spans="1:13">
      <c r="A4" s="21" t="s">
        <v>7</v>
      </c>
      <c r="B4" s="19" t="s">
        <v>6</v>
      </c>
      <c r="C4" s="19">
        <f>3000*4</f>
        <v>12000</v>
      </c>
      <c r="D4" s="20">
        <f t="shared" si="0"/>
        <v>9600</v>
      </c>
      <c r="E4" s="26"/>
      <c r="F4" s="26"/>
      <c r="G4" s="26"/>
      <c r="H4" s="26"/>
      <c r="I4" s="26"/>
      <c r="J4" s="26"/>
      <c r="K4" s="14"/>
      <c r="L4" s="14"/>
      <c r="M4" s="14"/>
    </row>
    <row r="5" ht="20.1" customHeight="1" spans="1:13">
      <c r="A5" s="21" t="s">
        <v>8</v>
      </c>
      <c r="B5" s="19" t="s">
        <v>6</v>
      </c>
      <c r="C5" s="19">
        <f>1800*5</f>
        <v>9000</v>
      </c>
      <c r="D5" s="20">
        <f t="shared" si="0"/>
        <v>7200</v>
      </c>
      <c r="E5" s="26"/>
      <c r="F5" s="26"/>
      <c r="G5" s="26"/>
      <c r="H5" s="26"/>
      <c r="I5" s="26"/>
      <c r="J5" s="26"/>
      <c r="K5" s="14"/>
      <c r="L5" s="14"/>
      <c r="M5" s="14"/>
    </row>
    <row r="6" ht="20.1" customHeight="1" spans="1:13">
      <c r="A6" s="21" t="s">
        <v>9</v>
      </c>
      <c r="B6" s="19" t="s">
        <v>10</v>
      </c>
      <c r="C6" s="19">
        <f>3000*4</f>
        <v>12000</v>
      </c>
      <c r="D6" s="20">
        <f t="shared" si="0"/>
        <v>9600</v>
      </c>
      <c r="E6" s="26"/>
      <c r="F6" s="26"/>
      <c r="G6" s="26"/>
      <c r="H6" s="26"/>
      <c r="I6" s="26"/>
      <c r="J6" s="26"/>
      <c r="K6" s="14"/>
      <c r="L6" s="14"/>
      <c r="M6" s="14"/>
    </row>
    <row r="7" ht="20.1" customHeight="1" spans="1:13">
      <c r="A7" s="21" t="s">
        <v>11</v>
      </c>
      <c r="B7" s="19" t="s">
        <v>10</v>
      </c>
      <c r="C7" s="19">
        <f>3000*1</f>
        <v>3000</v>
      </c>
      <c r="D7" s="20">
        <f t="shared" si="0"/>
        <v>2400</v>
      </c>
      <c r="E7" s="26"/>
      <c r="F7" s="26"/>
      <c r="G7" s="26"/>
      <c r="H7" s="26"/>
      <c r="I7" s="26"/>
      <c r="J7" s="26"/>
      <c r="K7" s="14"/>
      <c r="L7" s="14"/>
      <c r="M7" s="14"/>
    </row>
    <row r="8" ht="20.1" customHeight="1" spans="1:13">
      <c r="A8" s="21" t="s">
        <v>12</v>
      </c>
      <c r="B8" s="19" t="s">
        <v>6</v>
      </c>
      <c r="C8" s="19">
        <f>3000*7</f>
        <v>21000</v>
      </c>
      <c r="D8" s="20">
        <f t="shared" si="0"/>
        <v>16800</v>
      </c>
      <c r="E8" s="26"/>
      <c r="F8" s="26"/>
      <c r="G8" s="26"/>
      <c r="H8" s="26"/>
      <c r="I8" s="26"/>
      <c r="J8" s="26"/>
      <c r="K8" s="14"/>
      <c r="L8" s="14"/>
      <c r="M8" s="14"/>
    </row>
    <row r="9" ht="20.1" customHeight="1" spans="1:13">
      <c r="A9" s="21" t="s">
        <v>13</v>
      </c>
      <c r="B9" s="19" t="s">
        <v>6</v>
      </c>
      <c r="C9" s="19">
        <f>3000*6</f>
        <v>18000</v>
      </c>
      <c r="D9" s="20">
        <f t="shared" si="0"/>
        <v>14400</v>
      </c>
      <c r="E9" s="26"/>
      <c r="F9" s="26"/>
      <c r="G9" s="26"/>
      <c r="H9" s="26"/>
      <c r="I9" s="26"/>
      <c r="J9" s="26"/>
      <c r="K9" s="14"/>
      <c r="L9" s="14"/>
      <c r="M9" s="14"/>
    </row>
    <row r="10" ht="20.1" customHeight="1" spans="1:13">
      <c r="A10" s="21" t="s">
        <v>14</v>
      </c>
      <c r="B10" s="19" t="s">
        <v>6</v>
      </c>
      <c r="C10" s="19">
        <f>2400*8</f>
        <v>19200</v>
      </c>
      <c r="D10" s="20">
        <f t="shared" si="0"/>
        <v>15360</v>
      </c>
      <c r="E10" s="26"/>
      <c r="F10" s="26"/>
      <c r="G10" s="26"/>
      <c r="H10" s="26"/>
      <c r="I10" s="26"/>
      <c r="J10" s="26"/>
      <c r="K10" s="14"/>
      <c r="L10" s="14"/>
      <c r="M10" s="14"/>
    </row>
    <row r="11" ht="20.1" customHeight="1" spans="1:13">
      <c r="A11" s="21"/>
      <c r="B11" s="19"/>
      <c r="C11" s="19"/>
      <c r="D11" s="20">
        <f t="shared" si="0"/>
        <v>0</v>
      </c>
      <c r="E11" s="26"/>
      <c r="F11" s="26"/>
      <c r="G11" s="26"/>
      <c r="H11" s="26"/>
      <c r="I11" s="26"/>
      <c r="J11" s="26"/>
      <c r="K11" s="14"/>
      <c r="L11" s="14"/>
      <c r="M11" s="14"/>
    </row>
    <row r="12" ht="20.1" customHeight="1" spans="1:13">
      <c r="A12" s="21"/>
      <c r="B12" s="19"/>
      <c r="C12" s="19"/>
      <c r="D12" s="20">
        <f t="shared" si="0"/>
        <v>0</v>
      </c>
      <c r="E12" s="42"/>
      <c r="F12" s="42"/>
      <c r="G12" s="42"/>
      <c r="H12" s="42"/>
      <c r="I12" s="42"/>
      <c r="J12" s="42"/>
      <c r="K12" s="22"/>
      <c r="L12" s="22"/>
      <c r="M12" s="22"/>
    </row>
    <row r="13" ht="20.1" customHeight="1" spans="1:13">
      <c r="A13" s="21"/>
      <c r="B13" s="19"/>
      <c r="C13" s="43"/>
      <c r="D13" s="20">
        <f t="shared" si="0"/>
        <v>0</v>
      </c>
      <c r="E13" s="42"/>
      <c r="F13" s="42"/>
      <c r="G13" s="42"/>
      <c r="H13" s="42"/>
      <c r="I13" s="42"/>
      <c r="J13" s="42"/>
      <c r="K13" s="22"/>
      <c r="L13" s="22"/>
      <c r="M13" s="22"/>
    </row>
    <row r="14" ht="20.1" customHeight="1" spans="1:13">
      <c r="A14" s="21"/>
      <c r="B14" s="19"/>
      <c r="C14" s="43"/>
      <c r="D14" s="20">
        <f t="shared" si="0"/>
        <v>0</v>
      </c>
      <c r="E14" s="42"/>
      <c r="F14" s="42"/>
      <c r="G14" s="42"/>
      <c r="H14" s="42"/>
      <c r="I14" s="42"/>
      <c r="J14" s="42"/>
      <c r="K14" s="22"/>
      <c r="L14" s="22"/>
      <c r="M14" s="22"/>
    </row>
    <row r="15" ht="20.1" customHeight="1" spans="1:13">
      <c r="A15" s="14"/>
      <c r="B15" s="14" t="s">
        <v>15</v>
      </c>
      <c r="C15" s="14">
        <f>SUM(C3:C14)</f>
        <v>112200</v>
      </c>
      <c r="D15" s="14">
        <f>SUM(D3:D14)</f>
        <v>89760</v>
      </c>
      <c r="E15" s="26"/>
      <c r="F15" s="26"/>
      <c r="G15" s="26"/>
      <c r="H15" s="26"/>
      <c r="I15" s="26"/>
      <c r="J15" s="26"/>
      <c r="K15" s="14"/>
      <c r="L15" s="14"/>
      <c r="M15" s="14"/>
    </row>
    <row r="16" ht="20.1" customHeight="1" spans="1:13">
      <c r="A16" s="44"/>
      <c r="B16" s="44" t="s">
        <v>2</v>
      </c>
      <c r="C16" s="44" t="s">
        <v>3</v>
      </c>
      <c r="D16" s="45" t="s">
        <v>4</v>
      </c>
      <c r="E16" s="46"/>
      <c r="F16" s="46"/>
      <c r="G16" s="46"/>
      <c r="H16" s="46"/>
      <c r="I16" s="46"/>
      <c r="J16" s="46"/>
      <c r="K16" s="44"/>
      <c r="L16" s="44"/>
      <c r="M16" s="44"/>
    </row>
    <row r="17" ht="20.1" customHeight="1" spans="1:13">
      <c r="A17" s="47" t="s">
        <v>16</v>
      </c>
      <c r="B17" s="48" t="s">
        <v>6</v>
      </c>
      <c r="C17" s="48">
        <v>18000</v>
      </c>
      <c r="D17" s="49">
        <v>14400</v>
      </c>
      <c r="E17" s="46"/>
      <c r="F17" s="46"/>
      <c r="G17" s="46"/>
      <c r="H17" s="46"/>
      <c r="I17" s="50" t="s">
        <v>17</v>
      </c>
      <c r="J17" s="51"/>
      <c r="K17" s="9"/>
      <c r="L17" s="9"/>
      <c r="M17" s="9"/>
    </row>
    <row r="18" ht="20.1" customHeight="1" spans="1:13">
      <c r="A18" s="9" t="s">
        <v>18</v>
      </c>
      <c r="B18" s="9" t="s">
        <v>1</v>
      </c>
      <c r="C18" s="9" t="s">
        <v>19</v>
      </c>
      <c r="D18" s="9" t="s">
        <v>20</v>
      </c>
      <c r="E18" s="9" t="s">
        <v>21</v>
      </c>
      <c r="F18" s="9" t="s">
        <v>22</v>
      </c>
      <c r="G18" s="9" t="s">
        <v>23</v>
      </c>
      <c r="H18" s="9" t="s">
        <v>24</v>
      </c>
      <c r="I18" s="52" t="s">
        <v>25</v>
      </c>
      <c r="J18" s="52" t="s">
        <v>26</v>
      </c>
      <c r="K18" s="9" t="s">
        <v>27</v>
      </c>
      <c r="L18" s="9" t="s">
        <v>28</v>
      </c>
      <c r="M18" s="9" t="s">
        <v>15</v>
      </c>
    </row>
    <row r="19" ht="20.1" customHeight="1" spans="1:13">
      <c r="A19" s="53" t="s">
        <v>29</v>
      </c>
      <c r="B19" s="54" t="s">
        <v>30</v>
      </c>
      <c r="C19" s="54">
        <v>41</v>
      </c>
      <c r="D19" s="55">
        <v>91.17</v>
      </c>
      <c r="E19" s="56">
        <v>103.634146341463</v>
      </c>
      <c r="F19" s="57">
        <f t="shared" ref="F19:F26" si="1">E19/D19</f>
        <v>1.1367132427494</v>
      </c>
      <c r="G19" s="9">
        <v>1</v>
      </c>
      <c r="H19" s="58" t="s">
        <v>31</v>
      </c>
      <c r="I19" s="9">
        <v>7</v>
      </c>
      <c r="J19" s="9">
        <v>8</v>
      </c>
      <c r="K19" s="9">
        <f>$D$17*0.4*SUM(I19:J19)/SUM($I$19:$J$26)</f>
        <v>720</v>
      </c>
      <c r="L19" s="59">
        <f>$D$17*0.6*0.7*E19/SUM($E$19:$E$26)+$D$17*0.6*0.3*F19/SUM($F$19:$F$26)</f>
        <v>1228.30411443276</v>
      </c>
      <c r="M19" s="59">
        <f t="shared" ref="M19:M27" si="2">SUM(K19:L19)</f>
        <v>1948.30411443276</v>
      </c>
    </row>
    <row r="20" ht="20.1" customHeight="1" spans="1:13">
      <c r="A20" s="53" t="s">
        <v>32</v>
      </c>
      <c r="B20" s="54" t="s">
        <v>30</v>
      </c>
      <c r="C20" s="54">
        <v>49</v>
      </c>
      <c r="D20" s="55">
        <v>91.17</v>
      </c>
      <c r="E20" s="56">
        <v>96.5102040816327</v>
      </c>
      <c r="F20" s="57">
        <f t="shared" si="1"/>
        <v>1.05857413712441</v>
      </c>
      <c r="G20" s="9">
        <v>2</v>
      </c>
      <c r="H20" s="58" t="s">
        <v>33</v>
      </c>
      <c r="I20" s="9">
        <v>7</v>
      </c>
      <c r="J20" s="9">
        <v>8</v>
      </c>
      <c r="K20" s="9">
        <f t="shared" ref="K20:K26" si="3">$D$17*0.4*SUM(I20:J20)/SUM($I$19:$J$26)</f>
        <v>720</v>
      </c>
      <c r="L20" s="59">
        <f t="shared" ref="L20:L26" si="4">$D$17*0.6*0.7*E20/SUM($E$19:$E$26)+$D$17*0.6*0.3*F20/SUM($F$19:$F$26)</f>
        <v>1143.86893647607</v>
      </c>
      <c r="M20" s="59">
        <f t="shared" si="2"/>
        <v>1863.86893647607</v>
      </c>
    </row>
    <row r="21" ht="20.1" customHeight="1" spans="1:13">
      <c r="A21" s="53" t="s">
        <v>34</v>
      </c>
      <c r="B21" s="54" t="s">
        <v>30</v>
      </c>
      <c r="C21" s="54">
        <v>51</v>
      </c>
      <c r="D21" s="55">
        <v>91.17</v>
      </c>
      <c r="E21" s="56">
        <v>95.7647058823529</v>
      </c>
      <c r="F21" s="57">
        <f t="shared" si="1"/>
        <v>1.05039712495725</v>
      </c>
      <c r="G21" s="9">
        <v>3</v>
      </c>
      <c r="H21" s="58" t="s">
        <v>35</v>
      </c>
      <c r="I21" s="9">
        <v>7</v>
      </c>
      <c r="J21" s="9">
        <v>8</v>
      </c>
      <c r="K21" s="9">
        <f t="shared" si="3"/>
        <v>720</v>
      </c>
      <c r="L21" s="59">
        <f t="shared" si="4"/>
        <v>1135.03306009937</v>
      </c>
      <c r="M21" s="59">
        <f t="shared" si="2"/>
        <v>1855.03306009937</v>
      </c>
    </row>
    <row r="22" ht="20.1" customHeight="1" spans="1:13">
      <c r="A22" s="53" t="s">
        <v>36</v>
      </c>
      <c r="B22" s="54" t="s">
        <v>30</v>
      </c>
      <c r="C22" s="54">
        <v>34</v>
      </c>
      <c r="D22" s="55">
        <v>91.17</v>
      </c>
      <c r="E22" s="56">
        <v>88.0588235294118</v>
      </c>
      <c r="F22" s="57">
        <f t="shared" si="1"/>
        <v>0.965874997580474</v>
      </c>
      <c r="G22" s="9">
        <v>4</v>
      </c>
      <c r="H22" s="58" t="s">
        <v>37</v>
      </c>
      <c r="I22" s="60">
        <v>7</v>
      </c>
      <c r="J22" s="9">
        <v>8</v>
      </c>
      <c r="K22" s="9">
        <f t="shared" si="3"/>
        <v>720</v>
      </c>
      <c r="L22" s="59">
        <f t="shared" si="4"/>
        <v>1043.70054727811</v>
      </c>
      <c r="M22" s="59">
        <f t="shared" si="2"/>
        <v>1763.70054727811</v>
      </c>
    </row>
    <row r="23" ht="20.1" customHeight="1" spans="1:13">
      <c r="A23" s="53" t="s">
        <v>38</v>
      </c>
      <c r="B23" s="54" t="s">
        <v>30</v>
      </c>
      <c r="C23" s="54">
        <v>46</v>
      </c>
      <c r="D23" s="55">
        <v>91.17</v>
      </c>
      <c r="E23" s="56">
        <v>87.9565217391304</v>
      </c>
      <c r="F23" s="57">
        <f t="shared" si="1"/>
        <v>0.964752898312278</v>
      </c>
      <c r="G23" s="9">
        <v>5</v>
      </c>
      <c r="H23" s="58" t="s">
        <v>39</v>
      </c>
      <c r="I23" s="9">
        <v>7</v>
      </c>
      <c r="J23" s="9">
        <v>8</v>
      </c>
      <c r="K23" s="9">
        <f t="shared" si="3"/>
        <v>720</v>
      </c>
      <c r="L23" s="59">
        <f t="shared" si="4"/>
        <v>1042.48803466183</v>
      </c>
      <c r="M23" s="59">
        <f t="shared" si="2"/>
        <v>1762.48803466183</v>
      </c>
    </row>
    <row r="24" ht="20.1" customHeight="1" spans="1:13">
      <c r="A24" s="53" t="s">
        <v>40</v>
      </c>
      <c r="B24" s="54" t="s">
        <v>30</v>
      </c>
      <c r="C24" s="54">
        <v>50</v>
      </c>
      <c r="D24" s="55">
        <v>91.17</v>
      </c>
      <c r="E24" s="56">
        <v>87.24</v>
      </c>
      <c r="F24" s="57">
        <f t="shared" si="1"/>
        <v>0.956893715037841</v>
      </c>
      <c r="G24" s="9">
        <v>6</v>
      </c>
      <c r="H24" s="58" t="s">
        <v>41</v>
      </c>
      <c r="I24" s="9">
        <v>7</v>
      </c>
      <c r="J24" s="9">
        <v>8</v>
      </c>
      <c r="K24" s="9">
        <f t="shared" si="3"/>
        <v>720</v>
      </c>
      <c r="L24" s="59">
        <f t="shared" si="4"/>
        <v>1033.99559629741</v>
      </c>
      <c r="M24" s="59">
        <f t="shared" si="2"/>
        <v>1753.99559629741</v>
      </c>
    </row>
    <row r="25" ht="20.1" customHeight="1" spans="1:13">
      <c r="A25" s="53" t="s">
        <v>42</v>
      </c>
      <c r="B25" s="54" t="s">
        <v>30</v>
      </c>
      <c r="C25" s="54">
        <v>38</v>
      </c>
      <c r="D25" s="55">
        <v>91.17</v>
      </c>
      <c r="E25" s="56">
        <v>85.4473684210526</v>
      </c>
      <c r="F25" s="57">
        <f t="shared" si="1"/>
        <v>0.93723119909019</v>
      </c>
      <c r="G25" s="9">
        <v>7</v>
      </c>
      <c r="H25" s="58" t="s">
        <v>43</v>
      </c>
      <c r="I25" s="9">
        <v>7</v>
      </c>
      <c r="J25" s="9">
        <v>8</v>
      </c>
      <c r="K25" s="9">
        <f t="shared" si="3"/>
        <v>720</v>
      </c>
      <c r="L25" s="59">
        <f t="shared" si="4"/>
        <v>1012.74876963056</v>
      </c>
      <c r="M25" s="59">
        <f t="shared" si="2"/>
        <v>1732.74876963056</v>
      </c>
    </row>
    <row r="26" ht="20.1" customHeight="1" spans="1:13">
      <c r="A26" s="53" t="s">
        <v>44</v>
      </c>
      <c r="B26" s="54" t="s">
        <v>30</v>
      </c>
      <c r="C26" s="54">
        <v>50</v>
      </c>
      <c r="D26" s="55">
        <v>91.17</v>
      </c>
      <c r="E26" s="56">
        <v>84.36</v>
      </c>
      <c r="F26" s="57">
        <f t="shared" si="1"/>
        <v>0.925304376439618</v>
      </c>
      <c r="G26" s="9">
        <v>8</v>
      </c>
      <c r="H26" s="58" t="s">
        <v>45</v>
      </c>
      <c r="I26" s="9">
        <v>7</v>
      </c>
      <c r="J26" s="9">
        <v>8</v>
      </c>
      <c r="K26" s="9">
        <f t="shared" si="3"/>
        <v>720</v>
      </c>
      <c r="L26" s="59">
        <f t="shared" si="4"/>
        <v>999.860941123901</v>
      </c>
      <c r="M26" s="59">
        <f t="shared" si="2"/>
        <v>1719.8609411239</v>
      </c>
    </row>
    <row r="27" ht="20.1" customHeight="1" spans="1:13">
      <c r="A27" s="44"/>
      <c r="B27" s="44"/>
      <c r="C27" s="44"/>
      <c r="D27" s="61"/>
      <c r="E27" s="61"/>
      <c r="F27" s="62"/>
      <c r="G27" s="63"/>
      <c r="H27" s="44"/>
      <c r="I27" s="46"/>
      <c r="J27" s="9" t="s">
        <v>15</v>
      </c>
      <c r="K27" s="64">
        <f>SUM(K19:K26)</f>
        <v>5760</v>
      </c>
      <c r="L27" s="64">
        <f>SUM(L19:L26)</f>
        <v>8640</v>
      </c>
      <c r="M27" s="65">
        <f t="shared" si="2"/>
        <v>14400</v>
      </c>
    </row>
    <row r="28" ht="20.1" customHeight="1" spans="1:13">
      <c r="A28" s="51"/>
      <c r="B28" s="44" t="s">
        <v>2</v>
      </c>
      <c r="C28" s="44" t="s">
        <v>3</v>
      </c>
      <c r="D28" s="44" t="s">
        <v>4</v>
      </c>
      <c r="E28" s="61"/>
      <c r="F28" s="66"/>
      <c r="G28" s="44"/>
      <c r="H28" s="44"/>
      <c r="I28" s="46"/>
      <c r="J28" s="46"/>
      <c r="K28" s="44"/>
      <c r="L28" s="44"/>
      <c r="M28" s="44"/>
    </row>
    <row r="29" ht="20.1" customHeight="1" spans="1:13">
      <c r="A29" s="67" t="s">
        <v>46</v>
      </c>
      <c r="B29" s="9" t="s">
        <v>6</v>
      </c>
      <c r="C29" s="9">
        <v>12000</v>
      </c>
      <c r="D29" s="68">
        <v>9600</v>
      </c>
      <c r="E29" s="44" t="s">
        <v>47</v>
      </c>
      <c r="F29" s="44"/>
      <c r="G29" s="44" t="s">
        <v>47</v>
      </c>
      <c r="H29" s="46"/>
      <c r="I29" s="50" t="s">
        <v>17</v>
      </c>
      <c r="J29" s="51"/>
      <c r="K29" s="9"/>
      <c r="L29" s="9"/>
      <c r="M29" s="9"/>
    </row>
    <row r="30" ht="20.1" customHeight="1" spans="1:13">
      <c r="A30" s="9" t="s">
        <v>18</v>
      </c>
      <c r="B30" s="9" t="s">
        <v>1</v>
      </c>
      <c r="C30" s="9" t="s">
        <v>19</v>
      </c>
      <c r="D30" s="9" t="s">
        <v>20</v>
      </c>
      <c r="E30" s="9" t="s">
        <v>21</v>
      </c>
      <c r="F30" s="9" t="s">
        <v>22</v>
      </c>
      <c r="G30" s="9" t="s">
        <v>23</v>
      </c>
      <c r="H30" s="9" t="s">
        <v>24</v>
      </c>
      <c r="I30" s="52" t="s">
        <v>25</v>
      </c>
      <c r="J30" s="52" t="s">
        <v>26</v>
      </c>
      <c r="K30" s="9" t="s">
        <v>27</v>
      </c>
      <c r="L30" s="9" t="s">
        <v>28</v>
      </c>
      <c r="M30" s="9" t="s">
        <v>15</v>
      </c>
    </row>
    <row r="31" ht="20.1" customHeight="1" spans="1:13">
      <c r="A31" s="53" t="s">
        <v>29</v>
      </c>
      <c r="B31" s="54" t="s">
        <v>48</v>
      </c>
      <c r="C31" s="54">
        <v>41</v>
      </c>
      <c r="D31" s="55">
        <v>55.76</v>
      </c>
      <c r="E31" s="55">
        <v>86.8048780487805</v>
      </c>
      <c r="F31" s="57">
        <f t="shared" ref="F31:F38" si="5">E31/D31</f>
        <v>1.55675893200826</v>
      </c>
      <c r="G31" s="9">
        <v>1</v>
      </c>
      <c r="H31" s="8" t="s">
        <v>49</v>
      </c>
      <c r="I31" s="9">
        <v>7</v>
      </c>
      <c r="J31" s="9">
        <v>8</v>
      </c>
      <c r="K31" s="9">
        <f>$D$29*0.4*SUM(I31:J31)/SUM($I$31:$J$38)</f>
        <v>480</v>
      </c>
      <c r="L31" s="59">
        <f>$D$29*0.6*0.7*E31/SUM($E$31:$E$38)+$D$29*0.6*0.3*F31/SUM($F$31:$F$38)</f>
        <v>1118.78756874444</v>
      </c>
      <c r="M31" s="59">
        <f t="shared" ref="M31:M39" si="6">SUM(K31:L31)</f>
        <v>1598.78756874444</v>
      </c>
    </row>
    <row r="32" ht="20.1" customHeight="1" spans="1:13">
      <c r="A32" s="53" t="s">
        <v>32</v>
      </c>
      <c r="B32" s="54" t="s">
        <v>48</v>
      </c>
      <c r="C32" s="54">
        <v>49</v>
      </c>
      <c r="D32" s="55">
        <v>55.76</v>
      </c>
      <c r="E32" s="55">
        <v>63.0204081632653</v>
      </c>
      <c r="F32" s="57">
        <f t="shared" si="5"/>
        <v>1.13020818083331</v>
      </c>
      <c r="G32" s="9">
        <v>2</v>
      </c>
      <c r="H32" s="8" t="s">
        <v>50</v>
      </c>
      <c r="I32" s="9">
        <v>7</v>
      </c>
      <c r="J32" s="9">
        <v>8</v>
      </c>
      <c r="K32" s="9">
        <f t="shared" ref="K32:K38" si="7">$D$29*0.4*SUM(I32:J32)/SUM($I$31:$J$38)</f>
        <v>480</v>
      </c>
      <c r="L32" s="59">
        <f t="shared" ref="L32:L38" si="8">$D$29*0.6*0.7*E32/SUM($E$31:$E$38)+$D$29*0.6*0.3*F32/SUM($F$31:$F$38)</f>
        <v>812.240634571718</v>
      </c>
      <c r="M32" s="59">
        <f t="shared" si="6"/>
        <v>1292.24063457172</v>
      </c>
    </row>
    <row r="33" ht="20.1" customHeight="1" spans="1:13">
      <c r="A33" s="53" t="s">
        <v>34</v>
      </c>
      <c r="B33" s="54" t="s">
        <v>48</v>
      </c>
      <c r="C33" s="54">
        <v>51</v>
      </c>
      <c r="D33" s="55">
        <v>55.76</v>
      </c>
      <c r="E33" s="55">
        <v>59.9019607843137</v>
      </c>
      <c r="F33" s="57">
        <f t="shared" si="5"/>
        <v>1.07428193659099</v>
      </c>
      <c r="G33" s="9">
        <v>3</v>
      </c>
      <c r="H33" s="8" t="s">
        <v>51</v>
      </c>
      <c r="I33" s="9">
        <v>7</v>
      </c>
      <c r="J33" s="9">
        <v>8</v>
      </c>
      <c r="K33" s="9">
        <f t="shared" si="7"/>
        <v>480</v>
      </c>
      <c r="L33" s="59">
        <f t="shared" si="8"/>
        <v>772.048421417589</v>
      </c>
      <c r="M33" s="59">
        <f t="shared" si="6"/>
        <v>1252.04842141759</v>
      </c>
    </row>
    <row r="34" ht="20.1" customHeight="1" spans="1:13">
      <c r="A34" s="53" t="s">
        <v>42</v>
      </c>
      <c r="B34" s="54" t="s">
        <v>48</v>
      </c>
      <c r="C34" s="54">
        <v>38</v>
      </c>
      <c r="D34" s="55">
        <v>55.76</v>
      </c>
      <c r="E34" s="55">
        <v>52.6052631578947</v>
      </c>
      <c r="F34" s="57">
        <f t="shared" si="5"/>
        <v>0.943422940421354</v>
      </c>
      <c r="G34" s="9">
        <v>4</v>
      </c>
      <c r="H34" s="8" t="s">
        <v>52</v>
      </c>
      <c r="I34" s="9">
        <v>7</v>
      </c>
      <c r="J34" s="9">
        <v>8</v>
      </c>
      <c r="K34" s="9">
        <f t="shared" si="7"/>
        <v>480</v>
      </c>
      <c r="L34" s="59">
        <f t="shared" si="8"/>
        <v>678.004690456557</v>
      </c>
      <c r="M34" s="59">
        <f t="shared" si="6"/>
        <v>1158.00469045656</v>
      </c>
    </row>
    <row r="35" ht="20.1" customHeight="1" spans="1:13">
      <c r="A35" s="53" t="s">
        <v>40</v>
      </c>
      <c r="B35" s="54" t="s">
        <v>48</v>
      </c>
      <c r="C35" s="54">
        <v>50</v>
      </c>
      <c r="D35" s="55">
        <v>55.76</v>
      </c>
      <c r="E35" s="55">
        <v>46.84</v>
      </c>
      <c r="F35" s="57">
        <f t="shared" si="5"/>
        <v>0.840028694404591</v>
      </c>
      <c r="G35" s="9">
        <v>5</v>
      </c>
      <c r="H35" s="8" t="s">
        <v>53</v>
      </c>
      <c r="I35" s="9">
        <v>7</v>
      </c>
      <c r="J35" s="9">
        <v>8</v>
      </c>
      <c r="K35" s="9">
        <f t="shared" si="7"/>
        <v>480</v>
      </c>
      <c r="L35" s="59">
        <f t="shared" si="8"/>
        <v>603.698903770603</v>
      </c>
      <c r="M35" s="59">
        <f t="shared" si="6"/>
        <v>1083.6989037706</v>
      </c>
    </row>
    <row r="36" ht="20.1" customHeight="1" spans="1:13">
      <c r="A36" s="53" t="s">
        <v>44</v>
      </c>
      <c r="B36" s="54" t="s">
        <v>48</v>
      </c>
      <c r="C36" s="54">
        <v>50</v>
      </c>
      <c r="D36" s="55">
        <v>55.76</v>
      </c>
      <c r="E36" s="55">
        <v>46.62</v>
      </c>
      <c r="F36" s="57">
        <f t="shared" si="5"/>
        <v>0.836083213773314</v>
      </c>
      <c r="G36" s="9">
        <v>6</v>
      </c>
      <c r="H36" s="8" t="s">
        <v>54</v>
      </c>
      <c r="I36" s="9">
        <v>7</v>
      </c>
      <c r="J36" s="9">
        <v>8</v>
      </c>
      <c r="K36" s="9">
        <f t="shared" si="7"/>
        <v>480</v>
      </c>
      <c r="L36" s="59">
        <f t="shared" si="8"/>
        <v>600.863426425823</v>
      </c>
      <c r="M36" s="59">
        <f t="shared" si="6"/>
        <v>1080.86342642582</v>
      </c>
    </row>
    <row r="37" ht="20.1" customHeight="1" spans="1:13">
      <c r="A37" s="53" t="s">
        <v>38</v>
      </c>
      <c r="B37" s="54" t="s">
        <v>48</v>
      </c>
      <c r="C37" s="54">
        <v>46</v>
      </c>
      <c r="D37" s="55">
        <v>55.76</v>
      </c>
      <c r="E37" s="55">
        <v>45.5869565217391</v>
      </c>
      <c r="F37" s="57">
        <f t="shared" si="5"/>
        <v>0.817556609069926</v>
      </c>
      <c r="G37" s="9">
        <v>7</v>
      </c>
      <c r="H37" s="8" t="s">
        <v>54</v>
      </c>
      <c r="I37" s="9">
        <v>7</v>
      </c>
      <c r="J37" s="9">
        <v>8</v>
      </c>
      <c r="K37" s="9">
        <f t="shared" si="7"/>
        <v>480</v>
      </c>
      <c r="L37" s="59">
        <f t="shared" si="8"/>
        <v>587.549011067721</v>
      </c>
      <c r="M37" s="59">
        <f t="shared" si="6"/>
        <v>1067.54901106772</v>
      </c>
    </row>
    <row r="38" ht="20.1" customHeight="1" spans="1:13">
      <c r="A38" s="53" t="s">
        <v>36</v>
      </c>
      <c r="B38" s="54" t="s">
        <v>48</v>
      </c>
      <c r="C38" s="54">
        <v>34</v>
      </c>
      <c r="D38" s="55">
        <v>55.76</v>
      </c>
      <c r="E38" s="55">
        <v>45.5294117647059</v>
      </c>
      <c r="F38" s="57">
        <f t="shared" si="5"/>
        <v>0.816524601232172</v>
      </c>
      <c r="G38" s="9">
        <v>8</v>
      </c>
      <c r="H38" s="8" t="s">
        <v>55</v>
      </c>
      <c r="I38" s="9">
        <v>7</v>
      </c>
      <c r="J38" s="9">
        <v>8</v>
      </c>
      <c r="K38" s="9">
        <f t="shared" si="7"/>
        <v>480</v>
      </c>
      <c r="L38" s="59">
        <f t="shared" si="8"/>
        <v>586.807343545546</v>
      </c>
      <c r="M38" s="59">
        <f t="shared" si="6"/>
        <v>1066.80734354555</v>
      </c>
    </row>
    <row r="39" ht="20.1" customHeight="1" spans="1:13">
      <c r="A39" s="44"/>
      <c r="B39" s="44"/>
      <c r="C39" s="44"/>
      <c r="D39" s="61"/>
      <c r="E39" s="61"/>
      <c r="F39" s="62"/>
      <c r="G39" s="63"/>
      <c r="H39" s="44"/>
      <c r="I39" s="46"/>
      <c r="J39" s="9" t="s">
        <v>15</v>
      </c>
      <c r="K39" s="64">
        <f>SUM(K31:K38)</f>
        <v>3840</v>
      </c>
      <c r="L39" s="64">
        <f>SUM(L31:L38)</f>
        <v>5760</v>
      </c>
      <c r="M39" s="65">
        <f t="shared" si="6"/>
        <v>9600</v>
      </c>
    </row>
    <row r="40" ht="20.1" customHeight="1" spans="1:13">
      <c r="A40" s="44"/>
      <c r="B40" s="44" t="s">
        <v>2</v>
      </c>
      <c r="C40" s="44" t="s">
        <v>3</v>
      </c>
      <c r="D40" s="44" t="s">
        <v>4</v>
      </c>
      <c r="E40" s="61"/>
      <c r="F40" s="62"/>
      <c r="G40" s="63"/>
      <c r="H40" s="44"/>
      <c r="I40" s="46"/>
      <c r="J40" s="46"/>
      <c r="K40" s="44"/>
      <c r="L40" s="44"/>
      <c r="M40" s="44"/>
    </row>
    <row r="41" ht="20.1" customHeight="1" spans="1:13">
      <c r="A41" s="67" t="s">
        <v>56</v>
      </c>
      <c r="B41" s="48" t="s">
        <v>6</v>
      </c>
      <c r="C41" s="48">
        <v>9000</v>
      </c>
      <c r="D41" s="68">
        <v>7200</v>
      </c>
      <c r="E41" s="61"/>
      <c r="F41" s="66"/>
      <c r="G41" s="44"/>
      <c r="H41" s="44"/>
      <c r="I41" s="50" t="s">
        <v>17</v>
      </c>
      <c r="J41" s="51"/>
      <c r="K41" s="9"/>
      <c r="L41" s="9"/>
      <c r="M41" s="9"/>
    </row>
    <row r="42" ht="20.1" customHeight="1" spans="1:13">
      <c r="A42" s="9" t="s">
        <v>18</v>
      </c>
      <c r="B42" s="9" t="s">
        <v>1</v>
      </c>
      <c r="C42" s="9" t="s">
        <v>19</v>
      </c>
      <c r="D42" s="9" t="s">
        <v>20</v>
      </c>
      <c r="E42" s="9" t="s">
        <v>21</v>
      </c>
      <c r="F42" s="9" t="s">
        <v>22</v>
      </c>
      <c r="G42" s="9" t="s">
        <v>23</v>
      </c>
      <c r="H42" s="9" t="s">
        <v>24</v>
      </c>
      <c r="I42" s="52" t="s">
        <v>25</v>
      </c>
      <c r="J42" s="52" t="s">
        <v>26</v>
      </c>
      <c r="K42" s="9" t="s">
        <v>27</v>
      </c>
      <c r="L42" s="9" t="s">
        <v>28</v>
      </c>
      <c r="M42" s="9" t="s">
        <v>15</v>
      </c>
    </row>
    <row r="43" ht="20.1" customHeight="1" spans="1:13">
      <c r="A43" s="53" t="s">
        <v>29</v>
      </c>
      <c r="B43" s="54" t="s">
        <v>57</v>
      </c>
      <c r="C43" s="54">
        <v>41</v>
      </c>
      <c r="D43" s="55">
        <v>68.1</v>
      </c>
      <c r="E43" s="55">
        <v>81.0560975609756</v>
      </c>
      <c r="F43" s="69">
        <f t="shared" ref="F43:F50" si="9">E43/D43</f>
        <v>1.19025106550625</v>
      </c>
      <c r="G43" s="70">
        <v>1</v>
      </c>
      <c r="H43" s="8" t="s">
        <v>58</v>
      </c>
      <c r="I43" s="9">
        <v>6</v>
      </c>
      <c r="J43" s="9">
        <v>6</v>
      </c>
      <c r="K43" s="9">
        <f>$D$41*0.4*SUM(I43:J43)/SUM($I$43:$J$50)</f>
        <v>360</v>
      </c>
      <c r="L43" s="59">
        <f>$D$41*0.6*0.7*E43/SUM($E$43:$E$50)+$D$41*0.6*0.3*F43/SUM($F$43:$F$50)</f>
        <v>646.615149825547</v>
      </c>
      <c r="M43" s="59">
        <f t="shared" ref="M43:M51" si="10">SUM(K43:L43)</f>
        <v>1006.61514982555</v>
      </c>
    </row>
    <row r="44" ht="20.1" customHeight="1" spans="1:13">
      <c r="A44" s="53" t="s">
        <v>34</v>
      </c>
      <c r="B44" s="54" t="s">
        <v>57</v>
      </c>
      <c r="C44" s="54">
        <v>51</v>
      </c>
      <c r="D44" s="55">
        <v>68.1</v>
      </c>
      <c r="E44" s="55">
        <v>73.0725490196078</v>
      </c>
      <c r="F44" s="69">
        <f t="shared" si="9"/>
        <v>1.0730183409634</v>
      </c>
      <c r="G44" s="70">
        <v>2</v>
      </c>
      <c r="H44" s="8" t="s">
        <v>59</v>
      </c>
      <c r="I44" s="9">
        <v>6</v>
      </c>
      <c r="J44" s="9">
        <v>6</v>
      </c>
      <c r="K44" s="9">
        <f t="shared" ref="K44:K50" si="11">$D$41*0.4*SUM(I44:J44)/SUM($I$43:$J$50)</f>
        <v>360</v>
      </c>
      <c r="L44" s="59">
        <f t="shared" ref="L44:L50" si="12">$D$41*0.6*0.7*E44/SUM($E$43:$E$50)+$D$41*0.6*0.3*F44/SUM($F$43:$F$50)</f>
        <v>582.927363322716</v>
      </c>
      <c r="M44" s="59">
        <f t="shared" si="10"/>
        <v>942.927363322716</v>
      </c>
    </row>
    <row r="45" ht="20.1" customHeight="1" spans="1:13">
      <c r="A45" s="53" t="s">
        <v>32</v>
      </c>
      <c r="B45" s="54" t="s">
        <v>57</v>
      </c>
      <c r="C45" s="9">
        <v>49</v>
      </c>
      <c r="D45" s="55">
        <v>68.1</v>
      </c>
      <c r="E45" s="71">
        <v>72.6510204081633</v>
      </c>
      <c r="F45" s="69">
        <f t="shared" si="9"/>
        <v>1.06682849351194</v>
      </c>
      <c r="G45" s="70">
        <v>3</v>
      </c>
      <c r="H45" s="9" t="s">
        <v>60</v>
      </c>
      <c r="I45" s="9">
        <v>6</v>
      </c>
      <c r="J45" s="9">
        <v>6</v>
      </c>
      <c r="K45" s="9">
        <f t="shared" si="11"/>
        <v>360</v>
      </c>
      <c r="L45" s="59">
        <f t="shared" si="12"/>
        <v>579.564670145439</v>
      </c>
      <c r="M45" s="59">
        <f t="shared" si="10"/>
        <v>939.564670145439</v>
      </c>
    </row>
    <row r="46" ht="20.1" customHeight="1" spans="1:13">
      <c r="A46" s="53" t="s">
        <v>40</v>
      </c>
      <c r="B46" s="54" t="s">
        <v>57</v>
      </c>
      <c r="C46" s="54">
        <v>50</v>
      </c>
      <c r="D46" s="55">
        <v>68.1</v>
      </c>
      <c r="E46" s="55">
        <v>67.74</v>
      </c>
      <c r="F46" s="69">
        <f t="shared" si="9"/>
        <v>0.994713656387665</v>
      </c>
      <c r="G46" s="70">
        <v>4</v>
      </c>
      <c r="H46" s="8" t="s">
        <v>61</v>
      </c>
      <c r="I46" s="9">
        <v>6</v>
      </c>
      <c r="J46" s="9">
        <v>6</v>
      </c>
      <c r="K46" s="9">
        <f t="shared" si="11"/>
        <v>360</v>
      </c>
      <c r="L46" s="59">
        <f t="shared" si="12"/>
        <v>540.38760274922</v>
      </c>
      <c r="M46" s="59">
        <f t="shared" si="10"/>
        <v>900.38760274922</v>
      </c>
    </row>
    <row r="47" ht="20.1" customHeight="1" spans="1:13">
      <c r="A47" s="53" t="s">
        <v>44</v>
      </c>
      <c r="B47" s="54" t="s">
        <v>57</v>
      </c>
      <c r="C47" s="54">
        <v>50</v>
      </c>
      <c r="D47" s="55">
        <v>68.1</v>
      </c>
      <c r="E47" s="55">
        <v>65.006</v>
      </c>
      <c r="F47" s="69">
        <f t="shared" si="9"/>
        <v>0.954566813509545</v>
      </c>
      <c r="G47" s="70">
        <v>5</v>
      </c>
      <c r="H47" s="8" t="s">
        <v>61</v>
      </c>
      <c r="I47" s="9">
        <v>6</v>
      </c>
      <c r="J47" s="9">
        <v>6</v>
      </c>
      <c r="K47" s="9">
        <f t="shared" si="11"/>
        <v>360</v>
      </c>
      <c r="L47" s="59">
        <f t="shared" si="12"/>
        <v>518.577450609918</v>
      </c>
      <c r="M47" s="59">
        <f t="shared" si="10"/>
        <v>878.577450609918</v>
      </c>
    </row>
    <row r="48" ht="20.1" customHeight="1" spans="1:13">
      <c r="A48" s="53" t="s">
        <v>38</v>
      </c>
      <c r="B48" s="54" t="s">
        <v>57</v>
      </c>
      <c r="C48" s="54">
        <v>46</v>
      </c>
      <c r="D48" s="55">
        <v>68.1</v>
      </c>
      <c r="E48" s="55">
        <v>64.5326086956522</v>
      </c>
      <c r="F48" s="69">
        <f t="shared" si="9"/>
        <v>0.947615399348784</v>
      </c>
      <c r="G48" s="70">
        <v>6</v>
      </c>
      <c r="H48" s="8" t="s">
        <v>62</v>
      </c>
      <c r="I48" s="9">
        <v>6</v>
      </c>
      <c r="J48" s="9">
        <v>6</v>
      </c>
      <c r="K48" s="9">
        <f t="shared" si="11"/>
        <v>360</v>
      </c>
      <c r="L48" s="59">
        <f t="shared" si="12"/>
        <v>514.801029114216</v>
      </c>
      <c r="M48" s="59">
        <f t="shared" si="10"/>
        <v>874.801029114216</v>
      </c>
    </row>
    <row r="49" ht="20.1" customHeight="1" spans="1:13">
      <c r="A49" s="53" t="s">
        <v>42</v>
      </c>
      <c r="B49" s="54" t="s">
        <v>57</v>
      </c>
      <c r="C49" s="54">
        <v>38</v>
      </c>
      <c r="D49" s="55">
        <v>68.1</v>
      </c>
      <c r="E49" s="55">
        <v>60.8236842105263</v>
      </c>
      <c r="F49" s="69">
        <f t="shared" si="9"/>
        <v>0.893152484736069</v>
      </c>
      <c r="G49" s="70">
        <v>7</v>
      </c>
      <c r="H49" s="8" t="s">
        <v>60</v>
      </c>
      <c r="I49" s="9">
        <v>6</v>
      </c>
      <c r="J49" s="9">
        <v>6</v>
      </c>
      <c r="K49" s="9">
        <f t="shared" si="11"/>
        <v>360</v>
      </c>
      <c r="L49" s="59">
        <f t="shared" si="12"/>
        <v>485.213535590521</v>
      </c>
      <c r="M49" s="59">
        <f t="shared" si="10"/>
        <v>845.213535590521</v>
      </c>
    </row>
    <row r="50" ht="20.1" customHeight="1" spans="1:13">
      <c r="A50" s="53" t="s">
        <v>36</v>
      </c>
      <c r="B50" s="54" t="s">
        <v>57</v>
      </c>
      <c r="C50" s="54">
        <v>34</v>
      </c>
      <c r="D50" s="55">
        <v>67.68</v>
      </c>
      <c r="E50" s="55">
        <v>56.5441176470588</v>
      </c>
      <c r="F50" s="69">
        <f t="shared" si="9"/>
        <v>0.835462731191767</v>
      </c>
      <c r="G50" s="70">
        <v>8</v>
      </c>
      <c r="H50" s="8" t="s">
        <v>63</v>
      </c>
      <c r="I50" s="9">
        <v>6</v>
      </c>
      <c r="J50" s="9">
        <v>6</v>
      </c>
      <c r="K50" s="9">
        <f t="shared" si="11"/>
        <v>360</v>
      </c>
      <c r="L50" s="59">
        <f t="shared" si="12"/>
        <v>451.913198642424</v>
      </c>
      <c r="M50" s="59">
        <f t="shared" si="10"/>
        <v>811.913198642424</v>
      </c>
    </row>
    <row r="51" ht="20.1" customHeight="1" spans="1:13">
      <c r="A51" s="51"/>
      <c r="B51" s="9"/>
      <c r="C51" s="9"/>
      <c r="D51" s="72"/>
      <c r="E51" s="61"/>
      <c r="F51" s="66"/>
      <c r="G51" s="44"/>
      <c r="H51" s="44"/>
      <c r="I51" s="46"/>
      <c r="J51" s="9" t="s">
        <v>15</v>
      </c>
      <c r="K51" s="65">
        <f>SUM(K43:K50)</f>
        <v>2880</v>
      </c>
      <c r="L51" s="65">
        <f>SUM(L43:L50)</f>
        <v>4320</v>
      </c>
      <c r="M51" s="65">
        <f t="shared" si="10"/>
        <v>7200</v>
      </c>
    </row>
    <row r="52" ht="20.1" customHeight="1" spans="1:13">
      <c r="A52" s="44"/>
      <c r="B52" s="44" t="s">
        <v>2</v>
      </c>
      <c r="C52" s="44" t="s">
        <v>3</v>
      </c>
      <c r="D52" s="44" t="s">
        <v>4</v>
      </c>
      <c r="E52" s="73"/>
      <c r="F52" s="62"/>
      <c r="G52" s="63"/>
      <c r="H52" s="44"/>
      <c r="I52" s="46"/>
      <c r="J52" s="46"/>
      <c r="K52" s="44"/>
      <c r="L52" s="44"/>
      <c r="M52" s="44"/>
    </row>
    <row r="53" ht="20.1" customHeight="1" spans="1:13">
      <c r="A53" s="67" t="s">
        <v>64</v>
      </c>
      <c r="B53" s="9" t="s">
        <v>10</v>
      </c>
      <c r="C53" s="9">
        <v>12000</v>
      </c>
      <c r="D53" s="68">
        <v>9600</v>
      </c>
      <c r="E53" s="61"/>
      <c r="F53" s="62"/>
      <c r="G53" s="63"/>
      <c r="H53" s="44"/>
      <c r="I53" s="50" t="s">
        <v>17</v>
      </c>
      <c r="J53" s="51"/>
      <c r="K53" s="9"/>
      <c r="L53" s="9"/>
      <c r="M53" s="9"/>
    </row>
    <row r="54" ht="20.1" customHeight="1" spans="1:13">
      <c r="A54" s="9" t="s">
        <v>18</v>
      </c>
      <c r="B54" s="9" t="s">
        <v>1</v>
      </c>
      <c r="C54" s="9" t="s">
        <v>19</v>
      </c>
      <c r="D54" s="9" t="s">
        <v>20</v>
      </c>
      <c r="E54" s="9" t="s">
        <v>21</v>
      </c>
      <c r="F54" s="9" t="s">
        <v>22</v>
      </c>
      <c r="G54" s="9" t="s">
        <v>23</v>
      </c>
      <c r="H54" s="9" t="s">
        <v>24</v>
      </c>
      <c r="I54" s="52" t="s">
        <v>25</v>
      </c>
      <c r="J54" s="52" t="s">
        <v>26</v>
      </c>
      <c r="K54" s="9" t="s">
        <v>27</v>
      </c>
      <c r="L54" s="9" t="s">
        <v>28</v>
      </c>
      <c r="M54" s="9" t="s">
        <v>15</v>
      </c>
    </row>
    <row r="55" ht="20.1" customHeight="1" spans="1:13">
      <c r="A55" s="53" t="s">
        <v>32</v>
      </c>
      <c r="B55" s="54" t="s">
        <v>65</v>
      </c>
      <c r="C55" s="54">
        <v>49</v>
      </c>
      <c r="D55" s="55">
        <v>73.31</v>
      </c>
      <c r="E55" s="55">
        <v>79.8163265306122</v>
      </c>
      <c r="F55" s="57">
        <f>E55/D55</f>
        <v>1.08875087342262</v>
      </c>
      <c r="G55" s="9">
        <v>1</v>
      </c>
      <c r="H55" s="12" t="s">
        <v>66</v>
      </c>
      <c r="I55" s="9">
        <v>5</v>
      </c>
      <c r="J55" s="9">
        <v>5</v>
      </c>
      <c r="K55" s="9">
        <f>$D$53*0.4*SUM(I55:J55)/SUM($I$55:$J$59)</f>
        <v>768</v>
      </c>
      <c r="L55" s="59">
        <f>$D$53*0.6*0.7*E55/SUM($E$55:$E$59)+$D$53*0.6*0.3*F55/SUM($F$55:$F$59)</f>
        <v>1251.86919674434</v>
      </c>
      <c r="M55" s="59">
        <f t="shared" ref="M55:M60" si="13">SUM(K55:L55)</f>
        <v>2019.86919674434</v>
      </c>
    </row>
    <row r="56" ht="20.1" customHeight="1" spans="1:13">
      <c r="A56" s="53" t="s">
        <v>29</v>
      </c>
      <c r="B56" s="54" t="s">
        <v>65</v>
      </c>
      <c r="C56" s="54">
        <v>41</v>
      </c>
      <c r="D56" s="55">
        <v>73.31</v>
      </c>
      <c r="E56" s="55">
        <v>78.7634146341463</v>
      </c>
      <c r="F56" s="57">
        <f>E56/D56</f>
        <v>1.07438841405192</v>
      </c>
      <c r="G56" s="9">
        <v>2</v>
      </c>
      <c r="H56" s="8" t="s">
        <v>67</v>
      </c>
      <c r="I56" s="9">
        <v>5</v>
      </c>
      <c r="J56" s="9">
        <v>5</v>
      </c>
      <c r="K56" s="9">
        <f>$D$53*0.4*SUM(I56:J56)/SUM($I$55:$J$59)</f>
        <v>768</v>
      </c>
      <c r="L56" s="59">
        <f>$D$53*0.6*0.7*E56/SUM($E$55:$E$59)+$D$53*0.6*0.3*F56/SUM($F$55:$F$59)</f>
        <v>1235.35493171404</v>
      </c>
      <c r="M56" s="59">
        <f t="shared" si="13"/>
        <v>2003.35493171404</v>
      </c>
    </row>
    <row r="57" ht="20.1" customHeight="1" spans="1:13">
      <c r="A57" s="53" t="s">
        <v>34</v>
      </c>
      <c r="B57" s="54" t="s">
        <v>65</v>
      </c>
      <c r="C57" s="54">
        <v>51</v>
      </c>
      <c r="D57" s="55">
        <v>73.31</v>
      </c>
      <c r="E57" s="55">
        <v>73.7156862745098</v>
      </c>
      <c r="F57" s="57">
        <f>E57/D57</f>
        <v>1.00553384633078</v>
      </c>
      <c r="G57" s="9">
        <v>3</v>
      </c>
      <c r="H57" s="8" t="s">
        <v>68</v>
      </c>
      <c r="I57" s="9">
        <v>5</v>
      </c>
      <c r="J57" s="9">
        <v>5</v>
      </c>
      <c r="K57" s="9">
        <f>$D$53*0.4*SUM(I57:J57)/SUM($I$55:$J$59)</f>
        <v>768</v>
      </c>
      <c r="L57" s="59">
        <f>$D$53*0.6*0.7*E57/SUM($E$55:$E$59)+$D$53*0.6*0.3*F57/SUM($F$55:$F$59)</f>
        <v>1156.1844672034</v>
      </c>
      <c r="M57" s="59">
        <f t="shared" si="13"/>
        <v>1924.1844672034</v>
      </c>
    </row>
    <row r="58" ht="20.1" customHeight="1" spans="1:13">
      <c r="A58" s="53" t="s">
        <v>38</v>
      </c>
      <c r="B58" s="54" t="s">
        <v>65</v>
      </c>
      <c r="C58" s="54">
        <v>46</v>
      </c>
      <c r="D58" s="55">
        <v>73.31</v>
      </c>
      <c r="E58" s="55">
        <v>68.0130434782609</v>
      </c>
      <c r="F58" s="57">
        <f>E58/D58</f>
        <v>0.92774578472597</v>
      </c>
      <c r="G58" s="9">
        <v>4</v>
      </c>
      <c r="H58" s="8" t="s">
        <v>66</v>
      </c>
      <c r="I58" s="9">
        <v>5</v>
      </c>
      <c r="J58" s="9">
        <v>5</v>
      </c>
      <c r="K58" s="9">
        <f>$D$53*0.4*SUM(I58:J58)/SUM($I$55:$J$59)</f>
        <v>768</v>
      </c>
      <c r="L58" s="59">
        <f>$D$53*0.6*0.7*E58/SUM($E$55:$E$59)+$D$53*0.6*0.3*F58/SUM($F$55:$F$59)</f>
        <v>1066.74207907342</v>
      </c>
      <c r="M58" s="59">
        <f t="shared" si="13"/>
        <v>1834.74207907342</v>
      </c>
    </row>
    <row r="59" ht="20.1" customHeight="1" spans="1:13">
      <c r="A59" s="53" t="s">
        <v>40</v>
      </c>
      <c r="B59" s="54" t="s">
        <v>65</v>
      </c>
      <c r="C59" s="54">
        <v>50</v>
      </c>
      <c r="D59" s="55">
        <v>73.31</v>
      </c>
      <c r="E59" s="55">
        <v>66.936</v>
      </c>
      <c r="F59" s="57">
        <f>E59/D59</f>
        <v>0.913054153594326</v>
      </c>
      <c r="G59" s="9">
        <v>5</v>
      </c>
      <c r="H59" s="74" t="s">
        <v>68</v>
      </c>
      <c r="I59" s="9">
        <v>5</v>
      </c>
      <c r="J59" s="9">
        <v>5</v>
      </c>
      <c r="K59" s="9">
        <f>$D$53*0.4*SUM(I59:J59)/SUM($I$55:$J$59)</f>
        <v>768</v>
      </c>
      <c r="L59" s="59">
        <f>$D$53*0.6*0.7*E59/SUM($E$55:$E$59)+$D$53*0.6*0.3*F59/SUM($F$55:$F$59)</f>
        <v>1049.84932526481</v>
      </c>
      <c r="M59" s="59">
        <f t="shared" si="13"/>
        <v>1817.84932526481</v>
      </c>
    </row>
    <row r="60" ht="20.1" customHeight="1" spans="1:13">
      <c r="A60" s="44"/>
      <c r="B60" s="44"/>
      <c r="C60" s="44"/>
      <c r="D60" s="75"/>
      <c r="E60" s="75"/>
      <c r="F60" s="62"/>
      <c r="G60" s="63"/>
      <c r="H60" s="44"/>
      <c r="I60" s="44"/>
      <c r="J60" s="9" t="s">
        <v>15</v>
      </c>
      <c r="K60" s="65">
        <f>SUM(K55:K59)</f>
        <v>3840</v>
      </c>
      <c r="L60" s="64">
        <f>SUM(L55:L59)</f>
        <v>5760</v>
      </c>
      <c r="M60" s="65">
        <f t="shared" si="13"/>
        <v>9600</v>
      </c>
    </row>
    <row r="61" ht="20.1" customHeight="1" spans="1:13">
      <c r="A61" s="44"/>
      <c r="B61" s="44" t="s">
        <v>2</v>
      </c>
      <c r="C61" s="44" t="s">
        <v>3</v>
      </c>
      <c r="D61" s="45" t="s">
        <v>4</v>
      </c>
      <c r="E61" s="75"/>
      <c r="F61" s="62"/>
      <c r="G61" s="63"/>
      <c r="H61" s="44"/>
      <c r="I61" s="46"/>
      <c r="J61" s="46"/>
      <c r="K61" s="44"/>
      <c r="L61" s="44"/>
      <c r="M61" s="44"/>
    </row>
    <row r="62" ht="20.1" customHeight="1" spans="1:13">
      <c r="A62" s="67" t="s">
        <v>69</v>
      </c>
      <c r="B62" s="9" t="s">
        <v>10</v>
      </c>
      <c r="C62" s="9">
        <v>3000</v>
      </c>
      <c r="D62" s="68">
        <v>2400</v>
      </c>
      <c r="E62" s="75"/>
      <c r="F62" s="62"/>
      <c r="G62" s="63"/>
      <c r="H62" s="44"/>
      <c r="I62" s="50" t="s">
        <v>17</v>
      </c>
      <c r="J62" s="51"/>
      <c r="K62" s="9"/>
      <c r="L62" s="9"/>
      <c r="M62" s="9"/>
    </row>
    <row r="63" ht="20.1" customHeight="1" spans="1:13">
      <c r="A63" s="9" t="s">
        <v>18</v>
      </c>
      <c r="B63" s="9" t="s">
        <v>1</v>
      </c>
      <c r="C63" s="9" t="s">
        <v>19</v>
      </c>
      <c r="D63" s="9" t="s">
        <v>20</v>
      </c>
      <c r="E63" s="9" t="s">
        <v>21</v>
      </c>
      <c r="F63" s="9" t="s">
        <v>22</v>
      </c>
      <c r="G63" s="9" t="s">
        <v>23</v>
      </c>
      <c r="H63" s="9" t="s">
        <v>24</v>
      </c>
      <c r="I63" s="52" t="s">
        <v>25</v>
      </c>
      <c r="J63" s="52" t="s">
        <v>26</v>
      </c>
      <c r="K63" s="9" t="s">
        <v>27</v>
      </c>
      <c r="L63" s="9" t="s">
        <v>28</v>
      </c>
      <c r="M63" s="9" t="s">
        <v>15</v>
      </c>
    </row>
    <row r="64" ht="20.1" customHeight="1" spans="1:13">
      <c r="A64" s="53" t="s">
        <v>44</v>
      </c>
      <c r="B64" s="54" t="s">
        <v>70</v>
      </c>
      <c r="C64" s="54">
        <v>50</v>
      </c>
      <c r="D64" s="71">
        <v>76.14</v>
      </c>
      <c r="E64" s="55">
        <v>76.138</v>
      </c>
      <c r="F64" s="76">
        <f>E64/D64</f>
        <v>0.999973732597846</v>
      </c>
      <c r="G64" s="9">
        <v>1</v>
      </c>
      <c r="H64" s="77" t="s">
        <v>71</v>
      </c>
      <c r="I64" s="9">
        <v>5</v>
      </c>
      <c r="J64" s="9">
        <v>6</v>
      </c>
      <c r="K64" s="9">
        <f>$D$62*0.4*SUM(I64:J64)/SUM($I$64:$J$64)</f>
        <v>960</v>
      </c>
      <c r="L64" s="59">
        <f>$D$62*0.6*0.7*E64/SUM($E$64:$E$64)+$D$62*0.6*0.3*F64/SUM($F$64:$F$64)</f>
        <v>1440</v>
      </c>
      <c r="M64" s="59">
        <f>SUM(K64:L64)</f>
        <v>2400</v>
      </c>
    </row>
    <row r="65" ht="20.1" customHeight="1" spans="1:13">
      <c r="A65" s="44"/>
      <c r="B65" s="44"/>
      <c r="C65" s="44"/>
      <c r="D65" s="61"/>
      <c r="E65" s="75"/>
      <c r="F65" s="66"/>
      <c r="G65" s="63"/>
      <c r="H65" s="44"/>
      <c r="I65" s="46"/>
      <c r="J65" s="9" t="s">
        <v>15</v>
      </c>
      <c r="K65" s="65">
        <f>SUM(K64:K64)</f>
        <v>960</v>
      </c>
      <c r="L65" s="65">
        <f>SUM(L64:L64)</f>
        <v>1440</v>
      </c>
      <c r="M65" s="65">
        <f>SUM(K65:L65)</f>
        <v>2400</v>
      </c>
    </row>
    <row r="66" ht="20.1" customHeight="1" spans="1:13">
      <c r="A66" s="44"/>
      <c r="B66" s="44" t="s">
        <v>2</v>
      </c>
      <c r="C66" s="44" t="s">
        <v>3</v>
      </c>
      <c r="D66" s="45" t="s">
        <v>4</v>
      </c>
      <c r="E66" s="61"/>
      <c r="F66" s="66"/>
      <c r="G66" s="63"/>
      <c r="H66" s="44"/>
      <c r="I66" s="46"/>
      <c r="J66" s="46"/>
      <c r="K66" s="44"/>
      <c r="L66" s="44"/>
      <c r="M66" s="44"/>
    </row>
    <row r="67" ht="20.1" customHeight="1" spans="1:13">
      <c r="A67" s="67" t="s">
        <v>72</v>
      </c>
      <c r="B67" s="9" t="s">
        <v>6</v>
      </c>
      <c r="C67" s="9">
        <v>21000</v>
      </c>
      <c r="D67" s="68">
        <v>16800</v>
      </c>
      <c r="E67" s="44"/>
      <c r="F67" s="44"/>
      <c r="G67" s="46"/>
      <c r="H67" s="44"/>
      <c r="I67" s="50" t="s">
        <v>17</v>
      </c>
      <c r="J67" s="51"/>
      <c r="K67" s="9"/>
      <c r="L67" s="9"/>
      <c r="M67" s="9"/>
    </row>
    <row r="68" ht="20.1" customHeight="1" spans="1:13">
      <c r="A68" s="9" t="s">
        <v>18</v>
      </c>
      <c r="B68" s="9" t="s">
        <v>1</v>
      </c>
      <c r="C68" s="9" t="s">
        <v>19</v>
      </c>
      <c r="D68" s="9" t="s">
        <v>20</v>
      </c>
      <c r="E68" s="9" t="s">
        <v>21</v>
      </c>
      <c r="F68" s="9" t="s">
        <v>22</v>
      </c>
      <c r="G68" s="9" t="s">
        <v>23</v>
      </c>
      <c r="H68" s="9" t="s">
        <v>24</v>
      </c>
      <c r="I68" s="52" t="s">
        <v>25</v>
      </c>
      <c r="J68" s="52" t="s">
        <v>26</v>
      </c>
      <c r="K68" s="9" t="s">
        <v>27</v>
      </c>
      <c r="L68" s="9" t="s">
        <v>28</v>
      </c>
      <c r="M68" s="9" t="s">
        <v>15</v>
      </c>
    </row>
    <row r="69" ht="20.1" customHeight="1" spans="1:13">
      <c r="A69" s="53" t="s">
        <v>73</v>
      </c>
      <c r="B69" s="54" t="s">
        <v>30</v>
      </c>
      <c r="C69" s="54">
        <v>50</v>
      </c>
      <c r="D69" s="55">
        <v>88.91</v>
      </c>
      <c r="E69" s="55">
        <v>98.42</v>
      </c>
      <c r="F69" s="57">
        <f t="shared" ref="F69:F76" si="14">E69/D69</f>
        <v>1.10696209650208</v>
      </c>
      <c r="G69" s="9">
        <v>1</v>
      </c>
      <c r="H69" s="12" t="s">
        <v>74</v>
      </c>
      <c r="I69" s="9">
        <v>7</v>
      </c>
      <c r="J69" s="9">
        <v>7</v>
      </c>
      <c r="K69" s="9">
        <f t="shared" ref="K69:K76" si="15">$D$67*0.4*SUM(I69:J69)/SUM($I$69:$J$76)</f>
        <v>840</v>
      </c>
      <c r="L69" s="59">
        <f t="shared" ref="L69:L76" si="16">$D$67*0.6*0.7*E69/SUM($E$69:$E$76)+$D$67*0.6*0.3*F69/SUM($F$69:$F$76)</f>
        <v>1403.88820802963</v>
      </c>
      <c r="M69" s="59">
        <f t="shared" ref="M69:M77" si="17">SUM(K69:L69)</f>
        <v>2243.88820802963</v>
      </c>
    </row>
    <row r="70" ht="20.1" customHeight="1" spans="1:13">
      <c r="A70" s="53" t="s">
        <v>75</v>
      </c>
      <c r="B70" s="54" t="s">
        <v>30</v>
      </c>
      <c r="C70" s="54">
        <v>45</v>
      </c>
      <c r="D70" s="55">
        <v>88.91</v>
      </c>
      <c r="E70" s="55">
        <v>97.6666666666667</v>
      </c>
      <c r="F70" s="57">
        <f t="shared" si="14"/>
        <v>1.09848910883665</v>
      </c>
      <c r="G70" s="9">
        <v>2</v>
      </c>
      <c r="H70" s="8" t="s">
        <v>37</v>
      </c>
      <c r="I70" s="9">
        <v>7</v>
      </c>
      <c r="J70" s="9">
        <v>7</v>
      </c>
      <c r="K70" s="9">
        <f t="shared" si="15"/>
        <v>840</v>
      </c>
      <c r="L70" s="59">
        <f t="shared" si="16"/>
        <v>1393.14246749537</v>
      </c>
      <c r="M70" s="59">
        <f t="shared" si="17"/>
        <v>2233.14246749537</v>
      </c>
    </row>
    <row r="71" ht="20.1" customHeight="1" spans="1:13">
      <c r="A71" s="53" t="s">
        <v>76</v>
      </c>
      <c r="B71" s="54" t="s">
        <v>30</v>
      </c>
      <c r="C71" s="54">
        <v>46</v>
      </c>
      <c r="D71" s="55">
        <v>88.91</v>
      </c>
      <c r="E71" s="55">
        <v>89</v>
      </c>
      <c r="F71" s="57">
        <f t="shared" si="14"/>
        <v>1.00101225958835</v>
      </c>
      <c r="G71" s="9">
        <v>3</v>
      </c>
      <c r="H71" s="8" t="s">
        <v>31</v>
      </c>
      <c r="I71" s="9">
        <v>7</v>
      </c>
      <c r="J71" s="9">
        <v>7</v>
      </c>
      <c r="K71" s="9">
        <f t="shared" si="15"/>
        <v>840</v>
      </c>
      <c r="L71" s="59">
        <f t="shared" si="16"/>
        <v>1269.51890382684</v>
      </c>
      <c r="M71" s="59">
        <f t="shared" si="17"/>
        <v>2109.51890382684</v>
      </c>
    </row>
    <row r="72" ht="20.1" customHeight="1" spans="1:13">
      <c r="A72" s="53" t="s">
        <v>77</v>
      </c>
      <c r="B72" s="54" t="s">
        <v>30</v>
      </c>
      <c r="C72" s="54">
        <v>43</v>
      </c>
      <c r="D72" s="55">
        <v>88.91</v>
      </c>
      <c r="E72" s="55">
        <v>88.5813953488372</v>
      </c>
      <c r="F72" s="57">
        <f t="shared" si="14"/>
        <v>0.996304075456498</v>
      </c>
      <c r="G72" s="9">
        <v>4</v>
      </c>
      <c r="H72" s="8" t="s">
        <v>41</v>
      </c>
      <c r="I72" s="9">
        <v>7</v>
      </c>
      <c r="J72" s="9">
        <v>7</v>
      </c>
      <c r="K72" s="9">
        <f t="shared" si="15"/>
        <v>840</v>
      </c>
      <c r="L72" s="59">
        <f t="shared" si="16"/>
        <v>1263.54781935627</v>
      </c>
      <c r="M72" s="59">
        <f t="shared" si="17"/>
        <v>2103.54781935627</v>
      </c>
    </row>
    <row r="73" ht="20.1" customHeight="1" spans="1:13">
      <c r="A73" s="53" t="s">
        <v>78</v>
      </c>
      <c r="B73" s="54" t="s">
        <v>30</v>
      </c>
      <c r="C73" s="54">
        <v>50</v>
      </c>
      <c r="D73" s="55">
        <v>88.91</v>
      </c>
      <c r="E73" s="55">
        <v>85.86</v>
      </c>
      <c r="F73" s="57">
        <f t="shared" si="14"/>
        <v>0.96569564728377</v>
      </c>
      <c r="G73" s="9">
        <v>5</v>
      </c>
      <c r="H73" s="8" t="s">
        <v>35</v>
      </c>
      <c r="I73" s="9">
        <v>7</v>
      </c>
      <c r="J73" s="9">
        <v>7</v>
      </c>
      <c r="K73" s="9">
        <f t="shared" si="15"/>
        <v>840</v>
      </c>
      <c r="L73" s="59">
        <f t="shared" si="16"/>
        <v>1224.72913575924</v>
      </c>
      <c r="M73" s="59">
        <f t="shared" si="17"/>
        <v>2064.72913575924</v>
      </c>
    </row>
    <row r="74" ht="20.1" customHeight="1" spans="1:13">
      <c r="A74" s="53" t="s">
        <v>79</v>
      </c>
      <c r="B74" s="54" t="s">
        <v>30</v>
      </c>
      <c r="C74" s="54">
        <v>45</v>
      </c>
      <c r="D74" s="55">
        <v>88.91</v>
      </c>
      <c r="E74" s="55">
        <v>84.1333333333333</v>
      </c>
      <c r="F74" s="57">
        <f t="shared" si="14"/>
        <v>0.946275259625838</v>
      </c>
      <c r="G74" s="9">
        <v>6</v>
      </c>
      <c r="H74" s="8" t="s">
        <v>45</v>
      </c>
      <c r="I74" s="9">
        <v>7</v>
      </c>
      <c r="J74" s="9">
        <v>7</v>
      </c>
      <c r="K74" s="9">
        <f t="shared" si="15"/>
        <v>840</v>
      </c>
      <c r="L74" s="59">
        <f t="shared" si="16"/>
        <v>1200.09951807451</v>
      </c>
      <c r="M74" s="59">
        <f t="shared" si="17"/>
        <v>2040.09951807451</v>
      </c>
    </row>
    <row r="75" ht="20.1" customHeight="1" spans="1:13">
      <c r="A75" s="53" t="s">
        <v>80</v>
      </c>
      <c r="B75" s="54" t="s">
        <v>30</v>
      </c>
      <c r="C75" s="54">
        <v>32</v>
      </c>
      <c r="D75" s="55">
        <v>88.91</v>
      </c>
      <c r="E75" s="55">
        <v>82.96875</v>
      </c>
      <c r="F75" s="57">
        <f t="shared" si="14"/>
        <v>0.933176808008098</v>
      </c>
      <c r="G75" s="9">
        <v>7</v>
      </c>
      <c r="H75" s="8" t="s">
        <v>81</v>
      </c>
      <c r="I75" s="9">
        <v>7</v>
      </c>
      <c r="J75" s="9">
        <v>7</v>
      </c>
      <c r="K75" s="9">
        <f t="shared" si="15"/>
        <v>840</v>
      </c>
      <c r="L75" s="59">
        <f t="shared" si="16"/>
        <v>1183.48760170655</v>
      </c>
      <c r="M75" s="59">
        <f t="shared" si="17"/>
        <v>2023.48760170655</v>
      </c>
    </row>
    <row r="76" ht="20.1" customHeight="1" spans="1:13">
      <c r="A76" s="53" t="s">
        <v>82</v>
      </c>
      <c r="B76" s="54" t="s">
        <v>30</v>
      </c>
      <c r="C76" s="54">
        <v>32</v>
      </c>
      <c r="D76" s="55">
        <v>88.91</v>
      </c>
      <c r="E76" s="55">
        <v>80.03125</v>
      </c>
      <c r="F76" s="57">
        <f t="shared" si="14"/>
        <v>0.900137779777303</v>
      </c>
      <c r="G76" s="9">
        <v>8</v>
      </c>
      <c r="H76" s="8" t="s">
        <v>41</v>
      </c>
      <c r="I76" s="9">
        <v>7</v>
      </c>
      <c r="J76" s="9">
        <v>7</v>
      </c>
      <c r="K76" s="9">
        <f t="shared" si="15"/>
        <v>840</v>
      </c>
      <c r="L76" s="59">
        <f t="shared" si="16"/>
        <v>1141.58634575159</v>
      </c>
      <c r="M76" s="59">
        <f t="shared" si="17"/>
        <v>1981.58634575159</v>
      </c>
    </row>
    <row r="77" ht="20.1" customHeight="1" spans="1:13">
      <c r="A77" s="44"/>
      <c r="B77" s="44"/>
      <c r="C77" s="44"/>
      <c r="D77" s="61"/>
      <c r="E77" s="61"/>
      <c r="F77" s="62"/>
      <c r="G77" s="63"/>
      <c r="H77" s="44"/>
      <c r="I77" s="46"/>
      <c r="J77" s="9" t="s">
        <v>15</v>
      </c>
      <c r="K77" s="65">
        <f>SUM(K69:K76)</f>
        <v>6720</v>
      </c>
      <c r="L77" s="65">
        <f>SUM(L69:L76)</f>
        <v>10080</v>
      </c>
      <c r="M77" s="65">
        <f t="shared" si="17"/>
        <v>16800</v>
      </c>
    </row>
    <row r="78" ht="20.1" customHeight="1" spans="1:13">
      <c r="A78" s="44"/>
      <c r="B78" s="44"/>
      <c r="C78" s="46"/>
      <c r="D78" s="44"/>
      <c r="E78" s="46"/>
      <c r="F78" s="46"/>
      <c r="G78" s="46"/>
      <c r="H78" s="46"/>
      <c r="I78" s="46"/>
      <c r="J78" s="46"/>
      <c r="K78" s="44"/>
      <c r="L78" s="44"/>
      <c r="M78" s="44"/>
    </row>
    <row r="79" ht="20.1" customHeight="1" spans="1:13">
      <c r="A79" s="44"/>
      <c r="B79" s="44" t="s">
        <v>2</v>
      </c>
      <c r="C79" s="44" t="s">
        <v>3</v>
      </c>
      <c r="D79" s="44" t="s">
        <v>4</v>
      </c>
      <c r="E79" s="73"/>
      <c r="F79" s="62"/>
      <c r="G79" s="63"/>
      <c r="H79" s="44"/>
      <c r="I79" s="46"/>
      <c r="J79" s="46"/>
      <c r="K79" s="44"/>
      <c r="L79" s="44"/>
      <c r="M79" s="44"/>
    </row>
    <row r="80" ht="20.1" customHeight="1" spans="1:13">
      <c r="A80" s="67" t="s">
        <v>83</v>
      </c>
      <c r="B80" s="9" t="s">
        <v>6</v>
      </c>
      <c r="C80" s="9">
        <v>18000</v>
      </c>
      <c r="D80" s="68">
        <v>14400</v>
      </c>
      <c r="E80" s="61"/>
      <c r="F80" s="62"/>
      <c r="G80" s="63"/>
      <c r="H80" s="44"/>
      <c r="I80" s="50" t="s">
        <v>17</v>
      </c>
      <c r="J80" s="51"/>
      <c r="K80" s="9"/>
      <c r="L80" s="9"/>
      <c r="M80" s="9"/>
    </row>
    <row r="81" ht="20.1" customHeight="1" spans="1:13">
      <c r="A81" s="9" t="s">
        <v>18</v>
      </c>
      <c r="B81" s="9" t="s">
        <v>1</v>
      </c>
      <c r="C81" s="9" t="s">
        <v>19</v>
      </c>
      <c r="D81" s="9" t="s">
        <v>20</v>
      </c>
      <c r="E81" s="9" t="s">
        <v>21</v>
      </c>
      <c r="F81" s="9" t="s">
        <v>22</v>
      </c>
      <c r="G81" s="9" t="s">
        <v>23</v>
      </c>
      <c r="H81" s="9" t="s">
        <v>24</v>
      </c>
      <c r="I81" s="52" t="s">
        <v>25</v>
      </c>
      <c r="J81" s="52" t="s">
        <v>26</v>
      </c>
      <c r="K81" s="9" t="s">
        <v>27</v>
      </c>
      <c r="L81" s="9" t="s">
        <v>28</v>
      </c>
      <c r="M81" s="9" t="s">
        <v>15</v>
      </c>
    </row>
    <row r="82" ht="20.1" customHeight="1" spans="1:13">
      <c r="A82" s="53" t="s">
        <v>75</v>
      </c>
      <c r="B82" s="54" t="s">
        <v>48</v>
      </c>
      <c r="C82" s="54">
        <v>45</v>
      </c>
      <c r="D82" s="55">
        <v>34.65</v>
      </c>
      <c r="E82" s="55">
        <v>51.2666666666667</v>
      </c>
      <c r="F82" s="76">
        <f t="shared" ref="F82:F89" si="18">E82/D82</f>
        <v>1.47955747955748</v>
      </c>
      <c r="G82" s="9">
        <v>1</v>
      </c>
      <c r="H82" s="12" t="s">
        <v>53</v>
      </c>
      <c r="I82" s="9">
        <v>7</v>
      </c>
      <c r="J82" s="9">
        <v>8</v>
      </c>
      <c r="K82" s="9">
        <f t="shared" ref="K82:K89" si="19">$D$80*0.4*SUM(I82:J82)/SUM($I$82:$J$89)</f>
        <v>720</v>
      </c>
      <c r="L82" s="59">
        <f t="shared" ref="L82:L89" si="20">$D$80*0.6*0.7*E82/SUM($E$82:$E$89)+$D$80*0.6*0.3*F82/SUM($F$82:$F$89)</f>
        <v>1623.34098745889</v>
      </c>
      <c r="M82" s="59">
        <f t="shared" ref="M82:M90" si="21">SUM(K82:L82)</f>
        <v>2343.34098745889</v>
      </c>
    </row>
    <row r="83" ht="20.1" customHeight="1" spans="1:13">
      <c r="A83" s="53" t="s">
        <v>73</v>
      </c>
      <c r="B83" s="54" t="s">
        <v>48</v>
      </c>
      <c r="C83" s="54">
        <v>50</v>
      </c>
      <c r="D83" s="55">
        <v>34.65</v>
      </c>
      <c r="E83" s="55">
        <v>42.98</v>
      </c>
      <c r="F83" s="76">
        <f t="shared" si="18"/>
        <v>1.24040404040404</v>
      </c>
      <c r="G83" s="9">
        <v>2</v>
      </c>
      <c r="H83" s="8" t="s">
        <v>84</v>
      </c>
      <c r="I83" s="9">
        <v>7</v>
      </c>
      <c r="J83" s="9">
        <v>8</v>
      </c>
      <c r="K83" s="9">
        <f t="shared" si="19"/>
        <v>720</v>
      </c>
      <c r="L83" s="59">
        <f t="shared" si="20"/>
        <v>1360.94659897886</v>
      </c>
      <c r="M83" s="59">
        <f t="shared" si="21"/>
        <v>2080.94659897886</v>
      </c>
    </row>
    <row r="84" ht="20.1" customHeight="1" spans="1:13">
      <c r="A84" s="53" t="s">
        <v>78</v>
      </c>
      <c r="B84" s="54" t="s">
        <v>48</v>
      </c>
      <c r="C84" s="54">
        <v>50</v>
      </c>
      <c r="D84" s="55">
        <v>34.65</v>
      </c>
      <c r="E84" s="55">
        <v>32.48</v>
      </c>
      <c r="F84" s="76">
        <f t="shared" si="18"/>
        <v>0.937373737373737</v>
      </c>
      <c r="G84" s="9">
        <v>3</v>
      </c>
      <c r="H84" s="8" t="s">
        <v>85</v>
      </c>
      <c r="I84" s="9">
        <v>7</v>
      </c>
      <c r="J84" s="9">
        <v>8</v>
      </c>
      <c r="K84" s="9">
        <f t="shared" si="19"/>
        <v>720</v>
      </c>
      <c r="L84" s="59">
        <f t="shared" si="20"/>
        <v>1028.46778815341</v>
      </c>
      <c r="M84" s="59">
        <f t="shared" si="21"/>
        <v>1748.46778815341</v>
      </c>
    </row>
    <row r="85" ht="20.1" customHeight="1" spans="1:13">
      <c r="A85" s="53" t="s">
        <v>77</v>
      </c>
      <c r="B85" s="54" t="s">
        <v>48</v>
      </c>
      <c r="C85" s="54">
        <v>43</v>
      </c>
      <c r="D85" s="55">
        <v>34.65</v>
      </c>
      <c r="E85" s="55">
        <v>31.0232558139535</v>
      </c>
      <c r="F85" s="76">
        <f t="shared" si="18"/>
        <v>0.895332058122756</v>
      </c>
      <c r="G85" s="9">
        <v>4</v>
      </c>
      <c r="H85" s="8" t="s">
        <v>52</v>
      </c>
      <c r="I85" s="9">
        <v>7</v>
      </c>
      <c r="J85" s="9">
        <v>8</v>
      </c>
      <c r="K85" s="9">
        <f t="shared" si="19"/>
        <v>720</v>
      </c>
      <c r="L85" s="59">
        <f t="shared" si="20"/>
        <v>982.340495329251</v>
      </c>
      <c r="M85" s="59">
        <f t="shared" si="21"/>
        <v>1702.34049532925</v>
      </c>
    </row>
    <row r="86" ht="20.1" customHeight="1" spans="1:13">
      <c r="A86" s="53" t="s">
        <v>82</v>
      </c>
      <c r="B86" s="54" t="s">
        <v>48</v>
      </c>
      <c r="C86" s="54">
        <v>32</v>
      </c>
      <c r="D86" s="55">
        <v>34.65</v>
      </c>
      <c r="E86" s="55">
        <v>30.0625</v>
      </c>
      <c r="F86" s="76">
        <f t="shared" si="18"/>
        <v>0.867604617604618</v>
      </c>
      <c r="G86" s="9">
        <v>5</v>
      </c>
      <c r="H86" s="8" t="s">
        <v>49</v>
      </c>
      <c r="I86" s="9">
        <v>7</v>
      </c>
      <c r="J86" s="9">
        <v>8</v>
      </c>
      <c r="K86" s="9">
        <f t="shared" si="19"/>
        <v>720</v>
      </c>
      <c r="L86" s="59">
        <f t="shared" si="20"/>
        <v>951.918500041927</v>
      </c>
      <c r="M86" s="59">
        <f t="shared" si="21"/>
        <v>1671.91850004193</v>
      </c>
    </row>
    <row r="87" ht="20.1" customHeight="1" spans="1:13">
      <c r="A87" s="53" t="s">
        <v>79</v>
      </c>
      <c r="B87" s="54" t="s">
        <v>48</v>
      </c>
      <c r="C87" s="54">
        <v>45</v>
      </c>
      <c r="D87" s="55">
        <v>34.65</v>
      </c>
      <c r="E87" s="55">
        <v>29.9777777777778</v>
      </c>
      <c r="F87" s="76">
        <f t="shared" si="18"/>
        <v>0.865159531826199</v>
      </c>
      <c r="G87" s="9">
        <v>6</v>
      </c>
      <c r="H87" s="8" t="s">
        <v>86</v>
      </c>
      <c r="I87" s="9">
        <v>7</v>
      </c>
      <c r="J87" s="9">
        <v>8</v>
      </c>
      <c r="K87" s="9">
        <f t="shared" si="19"/>
        <v>720</v>
      </c>
      <c r="L87" s="59">
        <f t="shared" si="20"/>
        <v>949.23580064241</v>
      </c>
      <c r="M87" s="59">
        <f t="shared" si="21"/>
        <v>1669.23580064241</v>
      </c>
    </row>
    <row r="88" ht="20.1" customHeight="1" spans="1:13">
      <c r="A88" s="53" t="s">
        <v>76</v>
      </c>
      <c r="B88" s="54" t="s">
        <v>48</v>
      </c>
      <c r="C88" s="54">
        <v>46</v>
      </c>
      <c r="D88" s="55">
        <v>34.65</v>
      </c>
      <c r="E88" s="55">
        <v>28.4130434782609</v>
      </c>
      <c r="F88" s="76">
        <f t="shared" si="18"/>
        <v>0.820001254783864</v>
      </c>
      <c r="G88" s="9">
        <v>7</v>
      </c>
      <c r="H88" s="8" t="s">
        <v>87</v>
      </c>
      <c r="I88" s="9">
        <v>7</v>
      </c>
      <c r="J88" s="9">
        <v>8</v>
      </c>
      <c r="K88" s="9">
        <f t="shared" si="19"/>
        <v>720</v>
      </c>
      <c r="L88" s="59">
        <f t="shared" si="20"/>
        <v>899.689038817536</v>
      </c>
      <c r="M88" s="59">
        <f t="shared" si="21"/>
        <v>1619.68903881754</v>
      </c>
    </row>
    <row r="89" ht="20.1" customHeight="1" spans="1:13">
      <c r="A89" s="53" t="s">
        <v>80</v>
      </c>
      <c r="B89" s="54" t="s">
        <v>48</v>
      </c>
      <c r="C89" s="54">
        <v>32</v>
      </c>
      <c r="D89" s="55">
        <v>34.65</v>
      </c>
      <c r="E89" s="55">
        <v>26.65625</v>
      </c>
      <c r="F89" s="76">
        <f t="shared" si="18"/>
        <v>0.769300144300144</v>
      </c>
      <c r="G89" s="9">
        <v>8</v>
      </c>
      <c r="H89" s="8" t="s">
        <v>87</v>
      </c>
      <c r="I89" s="9">
        <v>7</v>
      </c>
      <c r="J89" s="9">
        <v>8</v>
      </c>
      <c r="K89" s="9">
        <f t="shared" si="19"/>
        <v>720</v>
      </c>
      <c r="L89" s="59">
        <f t="shared" si="20"/>
        <v>844.060790577717</v>
      </c>
      <c r="M89" s="59">
        <f t="shared" si="21"/>
        <v>1564.06079057772</v>
      </c>
    </row>
    <row r="90" ht="20.1" customHeight="1" spans="1:13">
      <c r="A90" s="44"/>
      <c r="B90" s="44"/>
      <c r="C90" s="44"/>
      <c r="D90" s="75"/>
      <c r="E90" s="75"/>
      <c r="F90" s="62"/>
      <c r="G90" s="63"/>
      <c r="H90" s="44"/>
      <c r="I90" s="44"/>
      <c r="J90" s="9" t="s">
        <v>15</v>
      </c>
      <c r="K90" s="65">
        <f>SUM(K82:K89)</f>
        <v>5760</v>
      </c>
      <c r="L90" s="64">
        <f>SUM(L82:L89)</f>
        <v>8640</v>
      </c>
      <c r="M90" s="65">
        <f t="shared" si="21"/>
        <v>14400</v>
      </c>
    </row>
    <row r="91" ht="20.1" customHeight="1" spans="1:13">
      <c r="A91" s="44"/>
      <c r="B91" s="44"/>
      <c r="C91" s="46"/>
      <c r="D91" s="44"/>
      <c r="E91" s="46"/>
      <c r="F91" s="46"/>
      <c r="G91" s="46"/>
      <c r="H91" s="46"/>
      <c r="I91" s="46"/>
      <c r="J91" s="46"/>
      <c r="K91" s="44"/>
      <c r="L91" s="44"/>
      <c r="M91" s="44"/>
    </row>
    <row r="92" ht="20.1" customHeight="1" spans="1:13">
      <c r="A92" s="44"/>
      <c r="B92" s="44" t="s">
        <v>2</v>
      </c>
      <c r="C92" s="44" t="s">
        <v>3</v>
      </c>
      <c r="D92" s="45" t="s">
        <v>4</v>
      </c>
      <c r="E92" s="75"/>
      <c r="F92" s="66"/>
      <c r="G92" s="63"/>
      <c r="H92" s="44"/>
      <c r="I92" s="46"/>
      <c r="J92" s="46"/>
      <c r="K92" s="44"/>
      <c r="L92" s="44"/>
      <c r="M92" s="44"/>
    </row>
    <row r="93" ht="20.1" customHeight="1" spans="1:13">
      <c r="A93" s="67" t="s">
        <v>88</v>
      </c>
      <c r="B93" s="9" t="s">
        <v>6</v>
      </c>
      <c r="C93" s="9">
        <v>19200</v>
      </c>
      <c r="D93" s="68">
        <v>15360</v>
      </c>
      <c r="E93" s="44"/>
      <c r="F93" s="44"/>
      <c r="G93" s="46"/>
      <c r="H93" s="46"/>
      <c r="I93" s="50" t="s">
        <v>17</v>
      </c>
      <c r="J93" s="51"/>
      <c r="K93" s="9"/>
      <c r="L93" s="9"/>
      <c r="M93" s="9"/>
    </row>
    <row r="94" ht="20.1" customHeight="1" spans="1:13">
      <c r="A94" s="9" t="s">
        <v>18</v>
      </c>
      <c r="B94" s="9" t="s">
        <v>1</v>
      </c>
      <c r="C94" s="9" t="s">
        <v>19</v>
      </c>
      <c r="D94" s="9" t="s">
        <v>20</v>
      </c>
      <c r="E94" s="9" t="s">
        <v>21</v>
      </c>
      <c r="F94" s="9" t="s">
        <v>22</v>
      </c>
      <c r="G94" s="9" t="s">
        <v>23</v>
      </c>
      <c r="H94" s="9" t="s">
        <v>24</v>
      </c>
      <c r="I94" s="52" t="s">
        <v>25</v>
      </c>
      <c r="J94" s="52" t="s">
        <v>26</v>
      </c>
      <c r="K94" s="9" t="s">
        <v>27</v>
      </c>
      <c r="L94" s="9" t="s">
        <v>28</v>
      </c>
      <c r="M94" s="9" t="s">
        <v>15</v>
      </c>
    </row>
    <row r="95" ht="20.1" customHeight="1" spans="1:13">
      <c r="A95" s="53" t="s">
        <v>89</v>
      </c>
      <c r="B95" s="54" t="s">
        <v>90</v>
      </c>
      <c r="C95" s="54">
        <v>50</v>
      </c>
      <c r="D95" s="55">
        <v>54.82</v>
      </c>
      <c r="E95" s="55">
        <v>61.8</v>
      </c>
      <c r="F95" s="57">
        <f>E95/D95</f>
        <v>1.12732579350602</v>
      </c>
      <c r="G95" s="70">
        <v>1</v>
      </c>
      <c r="H95" s="77" t="s">
        <v>91</v>
      </c>
      <c r="I95" s="9">
        <v>6</v>
      </c>
      <c r="J95" s="9">
        <v>7</v>
      </c>
      <c r="K95" s="9">
        <f>$D$93*0.4*SUM(I95:J95)/SUM($I$95:$J$102)</f>
        <v>768</v>
      </c>
      <c r="L95" s="59">
        <f>$D$93*0.6*0.7*E95/SUM($E$95:$E$102)+$D$93*0.6*0.3*F95/SUM($F$95:$F$102)</f>
        <v>1306.29977079247</v>
      </c>
      <c r="M95" s="59">
        <f>SUM(K95:L95)</f>
        <v>2074.29977079247</v>
      </c>
    </row>
    <row r="96" ht="20.1" customHeight="1" spans="1:13">
      <c r="A96" s="53" t="s">
        <v>92</v>
      </c>
      <c r="B96" s="54" t="s">
        <v>90</v>
      </c>
      <c r="C96" s="54">
        <v>45</v>
      </c>
      <c r="D96" s="55">
        <v>54.82</v>
      </c>
      <c r="E96" s="55">
        <v>60.1111111111111</v>
      </c>
      <c r="F96" s="57">
        <f t="shared" ref="F96:F102" si="22">E96/D96</f>
        <v>1.09651789695569</v>
      </c>
      <c r="G96" s="70">
        <v>2</v>
      </c>
      <c r="H96" s="77" t="s">
        <v>93</v>
      </c>
      <c r="I96" s="9">
        <v>6</v>
      </c>
      <c r="J96" s="9">
        <v>7</v>
      </c>
      <c r="K96" s="9">
        <f t="shared" ref="K96:K102" si="23">$D$93*0.4*SUM(I96:J96)/SUM($I$95:$J$102)</f>
        <v>768</v>
      </c>
      <c r="L96" s="59">
        <f t="shared" ref="L96:L102" si="24">$D$93*0.6*0.7*E96/SUM($E$95:$E$102)+$D$93*0.6*0.3*F96/SUM($F$95:$F$102)</f>
        <v>1270.60081984668</v>
      </c>
      <c r="M96" s="59">
        <f>SUM(K96:L96)</f>
        <v>2038.60081984668</v>
      </c>
    </row>
    <row r="97" ht="20.1" customHeight="1" spans="1:13">
      <c r="A97" s="53" t="s">
        <v>94</v>
      </c>
      <c r="B97" s="54" t="s">
        <v>90</v>
      </c>
      <c r="C97" s="54">
        <v>43</v>
      </c>
      <c r="D97" s="55">
        <v>54.82</v>
      </c>
      <c r="E97" s="55">
        <v>53.7441860465116</v>
      </c>
      <c r="F97" s="57">
        <f t="shared" si="22"/>
        <v>0.980375520731696</v>
      </c>
      <c r="G97" s="70">
        <v>3</v>
      </c>
      <c r="H97" s="77" t="s">
        <v>95</v>
      </c>
      <c r="I97" s="9">
        <v>6</v>
      </c>
      <c r="J97" s="9">
        <v>7</v>
      </c>
      <c r="K97" s="9">
        <f t="shared" si="23"/>
        <v>768</v>
      </c>
      <c r="L97" s="59">
        <f t="shared" si="24"/>
        <v>1136.01970734605</v>
      </c>
      <c r="M97" s="59">
        <f t="shared" ref="M97:M103" si="25">SUM(K97:L97)</f>
        <v>1904.01970734605</v>
      </c>
    </row>
    <row r="98" ht="20.1" customHeight="1" spans="1:13">
      <c r="A98" s="53" t="s">
        <v>96</v>
      </c>
      <c r="B98" s="54" t="s">
        <v>90</v>
      </c>
      <c r="C98" s="54">
        <v>45</v>
      </c>
      <c r="D98" s="55">
        <v>54.82</v>
      </c>
      <c r="E98" s="55">
        <v>53.5777777777778</v>
      </c>
      <c r="F98" s="57">
        <f t="shared" si="22"/>
        <v>0.977339981353116</v>
      </c>
      <c r="G98" s="70">
        <v>4</v>
      </c>
      <c r="H98" s="77" t="s">
        <v>91</v>
      </c>
      <c r="I98" s="9">
        <v>6</v>
      </c>
      <c r="J98" s="9">
        <v>7</v>
      </c>
      <c r="K98" s="9">
        <f t="shared" si="23"/>
        <v>768</v>
      </c>
      <c r="L98" s="59">
        <f t="shared" si="24"/>
        <v>1132.50224645115</v>
      </c>
      <c r="M98" s="59">
        <f t="shared" si="25"/>
        <v>1900.50224645115</v>
      </c>
    </row>
    <row r="99" ht="20.1" customHeight="1" spans="1:13">
      <c r="A99" s="53" t="s">
        <v>97</v>
      </c>
      <c r="B99" s="54" t="s">
        <v>90</v>
      </c>
      <c r="C99" s="54">
        <v>50</v>
      </c>
      <c r="D99" s="55">
        <v>54.82</v>
      </c>
      <c r="E99" s="55">
        <v>52.74</v>
      </c>
      <c r="F99" s="57">
        <f t="shared" si="22"/>
        <v>0.962057643195914</v>
      </c>
      <c r="G99" s="70">
        <v>5</v>
      </c>
      <c r="H99" s="77" t="s">
        <v>98</v>
      </c>
      <c r="I99" s="9">
        <v>6</v>
      </c>
      <c r="J99" s="9">
        <v>7</v>
      </c>
      <c r="K99" s="9">
        <f t="shared" si="23"/>
        <v>768</v>
      </c>
      <c r="L99" s="59">
        <f t="shared" si="24"/>
        <v>1114.79368788988</v>
      </c>
      <c r="M99" s="59">
        <f t="shared" si="25"/>
        <v>1882.79368788988</v>
      </c>
    </row>
    <row r="100" ht="20.1" customHeight="1" spans="1:13">
      <c r="A100" s="53" t="s">
        <v>99</v>
      </c>
      <c r="B100" s="54" t="s">
        <v>90</v>
      </c>
      <c r="C100" s="54">
        <v>32</v>
      </c>
      <c r="D100" s="55">
        <v>54.82</v>
      </c>
      <c r="E100" s="55">
        <v>52.3125</v>
      </c>
      <c r="F100" s="57">
        <f t="shared" si="22"/>
        <v>0.954259394381613</v>
      </c>
      <c r="G100" s="70">
        <v>6</v>
      </c>
      <c r="H100" s="77" t="s">
        <v>95</v>
      </c>
      <c r="I100" s="9">
        <v>6</v>
      </c>
      <c r="J100" s="9">
        <v>7</v>
      </c>
      <c r="K100" s="9">
        <f t="shared" si="23"/>
        <v>768</v>
      </c>
      <c r="L100" s="59">
        <f t="shared" si="24"/>
        <v>1105.75739093173</v>
      </c>
      <c r="M100" s="59">
        <f t="shared" si="25"/>
        <v>1873.75739093173</v>
      </c>
    </row>
    <row r="101" ht="20.1" customHeight="1" spans="1:13">
      <c r="A101" s="53" t="s">
        <v>100</v>
      </c>
      <c r="B101" s="54" t="s">
        <v>90</v>
      </c>
      <c r="C101" s="54">
        <v>46</v>
      </c>
      <c r="D101" s="55">
        <v>54.82</v>
      </c>
      <c r="E101" s="55">
        <v>51.4347826086956</v>
      </c>
      <c r="F101" s="57">
        <f t="shared" si="22"/>
        <v>0.938248497057563</v>
      </c>
      <c r="G101" s="70">
        <v>7</v>
      </c>
      <c r="H101" s="77" t="s">
        <v>98</v>
      </c>
      <c r="I101" s="9">
        <v>6</v>
      </c>
      <c r="J101" s="9">
        <v>7</v>
      </c>
      <c r="K101" s="9">
        <f t="shared" si="23"/>
        <v>768</v>
      </c>
      <c r="L101" s="59">
        <f t="shared" si="24"/>
        <v>1087.204607322</v>
      </c>
      <c r="M101" s="59">
        <f t="shared" si="25"/>
        <v>1855.204607322</v>
      </c>
    </row>
    <row r="102" ht="20.1" customHeight="1" spans="1:13">
      <c r="A102" s="53" t="s">
        <v>101</v>
      </c>
      <c r="B102" s="54" t="s">
        <v>90</v>
      </c>
      <c r="C102" s="54">
        <v>32</v>
      </c>
      <c r="D102" s="55">
        <v>54.82</v>
      </c>
      <c r="E102" s="55">
        <v>50.28125</v>
      </c>
      <c r="F102" s="57">
        <f t="shared" si="22"/>
        <v>0.917206311565122</v>
      </c>
      <c r="G102" s="70">
        <v>8</v>
      </c>
      <c r="H102" s="77" t="s">
        <v>102</v>
      </c>
      <c r="I102" s="9">
        <v>6</v>
      </c>
      <c r="J102" s="9">
        <v>7</v>
      </c>
      <c r="K102" s="9">
        <f t="shared" si="23"/>
        <v>768</v>
      </c>
      <c r="L102" s="59">
        <f t="shared" si="24"/>
        <v>1062.82176942004</v>
      </c>
      <c r="M102" s="59">
        <f t="shared" si="25"/>
        <v>1830.82176942004</v>
      </c>
    </row>
    <row r="103" ht="20.1" customHeight="1" spans="1:13">
      <c r="A103" s="44"/>
      <c r="B103" s="44"/>
      <c r="C103" s="46"/>
      <c r="D103" s="44"/>
      <c r="E103" s="46"/>
      <c r="F103" s="46"/>
      <c r="G103" s="46"/>
      <c r="H103" s="46"/>
      <c r="I103" s="46"/>
      <c r="J103" s="9" t="s">
        <v>15</v>
      </c>
      <c r="K103" s="65">
        <f>SUM(K95:K102)</f>
        <v>6144</v>
      </c>
      <c r="L103" s="65">
        <f>SUM(L95:L102)</f>
        <v>9216</v>
      </c>
      <c r="M103" s="65">
        <f t="shared" si="25"/>
        <v>15360</v>
      </c>
    </row>
  </sheetData>
  <mergeCells count="6">
    <mergeCell ref="A1:C1"/>
    <mergeCell ref="I17:J17"/>
    <mergeCell ref="I29:J29"/>
    <mergeCell ref="I41:J41"/>
    <mergeCell ref="I53:J53"/>
    <mergeCell ref="I80:J8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pane ySplit="12" topLeftCell="A17" activePane="bottomLeft" state="frozen"/>
      <selection/>
      <selection pane="bottomLeft" activeCell="H29" sqref="H29:I33"/>
    </sheetView>
  </sheetViews>
  <sheetFormatPr defaultColWidth="9" defaultRowHeight="13.5"/>
  <cols>
    <col min="1" max="1" width="24.875" customWidth="1"/>
    <col min="2" max="2" width="7" customWidth="1"/>
    <col min="3" max="4" width="12" customWidth="1"/>
    <col min="5" max="5" width="9.375" customWidth="1"/>
    <col min="6" max="6" width="21.5" customWidth="1"/>
    <col min="7" max="7" width="5.125" customWidth="1"/>
    <col min="8" max="8" width="18.625" customWidth="1"/>
    <col min="9" max="10" width="8.875" customWidth="1"/>
    <col min="11" max="13" width="12.5" customWidth="1"/>
  </cols>
  <sheetData>
    <row r="1" ht="20.1" customHeight="1" spans="1:13">
      <c r="A1" s="13" t="s">
        <v>103</v>
      </c>
      <c r="B1" s="13"/>
      <c r="C1" s="13"/>
      <c r="D1" s="14"/>
      <c r="E1" s="15"/>
      <c r="F1" s="15"/>
      <c r="G1" s="15"/>
      <c r="H1" s="15"/>
      <c r="I1" s="15"/>
      <c r="J1" s="15"/>
      <c r="K1" s="15"/>
      <c r="L1" s="15"/>
      <c r="M1" s="15"/>
    </row>
    <row r="2" ht="20.1" customHeight="1" spans="1:13">
      <c r="A2" s="14" t="s">
        <v>1</v>
      </c>
      <c r="B2" s="14" t="s">
        <v>2</v>
      </c>
      <c r="C2" s="16" t="s">
        <v>3</v>
      </c>
      <c r="D2" s="17" t="s">
        <v>4</v>
      </c>
      <c r="E2" s="15"/>
      <c r="F2" s="15"/>
      <c r="G2" s="15"/>
      <c r="H2" s="15"/>
      <c r="I2" s="15"/>
      <c r="J2" s="15"/>
      <c r="K2" s="15"/>
      <c r="L2" s="15"/>
      <c r="M2" s="15"/>
    </row>
    <row r="3" ht="20.1" customHeight="1" spans="1:13">
      <c r="A3" s="18" t="s">
        <v>104</v>
      </c>
      <c r="B3" s="19" t="s">
        <v>6</v>
      </c>
      <c r="C3" s="19">
        <f>1600*8</f>
        <v>12800</v>
      </c>
      <c r="D3" s="20">
        <f t="shared" ref="D3:D11" si="0">C3*0.8</f>
        <v>10240</v>
      </c>
      <c r="E3" s="15"/>
      <c r="F3" s="15"/>
      <c r="G3" s="15"/>
      <c r="H3" s="15"/>
      <c r="I3" s="15"/>
      <c r="J3" s="15"/>
      <c r="K3" s="15"/>
      <c r="L3" s="15"/>
      <c r="M3" s="15"/>
    </row>
    <row r="4" ht="20.1" customHeight="1" spans="1:13">
      <c r="A4" s="21"/>
      <c r="B4" s="19"/>
      <c r="C4" s="19"/>
      <c r="D4" s="20">
        <f t="shared" si="0"/>
        <v>0</v>
      </c>
      <c r="E4" s="15"/>
      <c r="F4" s="15"/>
      <c r="G4" s="15"/>
      <c r="H4" s="15"/>
      <c r="I4" s="15"/>
      <c r="J4" s="15"/>
      <c r="K4" s="15"/>
      <c r="L4" s="15"/>
      <c r="M4" s="15"/>
    </row>
    <row r="5" ht="20.1" customHeight="1" spans="1:13">
      <c r="A5" s="21"/>
      <c r="B5" s="19"/>
      <c r="C5" s="19"/>
      <c r="D5" s="20">
        <f t="shared" si="0"/>
        <v>0</v>
      </c>
      <c r="E5" s="15"/>
      <c r="F5" s="15"/>
      <c r="G5" s="15"/>
      <c r="H5" s="15"/>
      <c r="I5" s="15"/>
      <c r="J5" s="15"/>
      <c r="K5" s="15"/>
      <c r="L5" s="15"/>
      <c r="M5" s="15"/>
    </row>
    <row r="6" ht="20.1" customHeight="1" spans="1:13">
      <c r="A6" s="21"/>
      <c r="B6" s="19"/>
      <c r="C6" s="19"/>
      <c r="D6" s="20">
        <f t="shared" si="0"/>
        <v>0</v>
      </c>
      <c r="E6" s="15"/>
      <c r="F6" s="15"/>
      <c r="G6" s="15"/>
      <c r="H6" s="15"/>
      <c r="I6" s="15"/>
      <c r="J6" s="15"/>
      <c r="K6" s="15"/>
      <c r="L6" s="15"/>
      <c r="M6" s="15"/>
    </row>
    <row r="7" ht="20.1" customHeight="1" spans="1:13">
      <c r="A7" s="21"/>
      <c r="B7" s="19"/>
      <c r="C7" s="19"/>
      <c r="D7" s="20">
        <f t="shared" si="0"/>
        <v>0</v>
      </c>
      <c r="E7" s="15"/>
      <c r="F7" s="15"/>
      <c r="G7" s="15"/>
      <c r="H7" s="15"/>
      <c r="I7" s="15"/>
      <c r="J7" s="15"/>
      <c r="K7" s="15"/>
      <c r="L7" s="15"/>
      <c r="M7" s="15"/>
    </row>
    <row r="8" ht="20.1" customHeight="1" spans="1:13">
      <c r="A8" s="21"/>
      <c r="B8" s="19"/>
      <c r="C8" s="19"/>
      <c r="D8" s="20">
        <f t="shared" si="0"/>
        <v>0</v>
      </c>
      <c r="E8" s="15"/>
      <c r="F8" s="15"/>
      <c r="G8" s="15"/>
      <c r="H8" s="15"/>
      <c r="I8" s="15"/>
      <c r="J8" s="15"/>
      <c r="K8" s="15"/>
      <c r="L8" s="15"/>
      <c r="M8" s="15"/>
    </row>
    <row r="9" ht="20.1" customHeight="1" spans="1:13">
      <c r="A9" s="21"/>
      <c r="B9" s="19"/>
      <c r="C9" s="19"/>
      <c r="D9" s="20">
        <f t="shared" si="0"/>
        <v>0</v>
      </c>
      <c r="E9" s="15"/>
      <c r="F9" s="15"/>
      <c r="G9" s="15"/>
      <c r="H9" s="15"/>
      <c r="I9" s="15"/>
      <c r="J9" s="15"/>
      <c r="K9" s="15"/>
      <c r="L9" s="15"/>
      <c r="M9" s="15"/>
    </row>
    <row r="10" ht="20.1" customHeight="1" spans="1:13">
      <c r="A10" s="21"/>
      <c r="B10" s="19"/>
      <c r="C10" s="19"/>
      <c r="D10" s="20">
        <f t="shared" si="0"/>
        <v>0</v>
      </c>
      <c r="E10" s="15"/>
      <c r="F10" s="15"/>
      <c r="G10" s="15"/>
      <c r="H10" s="15"/>
      <c r="I10" s="15"/>
      <c r="J10" s="15"/>
      <c r="K10" s="15"/>
      <c r="L10" s="15"/>
      <c r="M10" s="15"/>
    </row>
    <row r="11" ht="20.1" customHeight="1" spans="1:13">
      <c r="A11" s="21"/>
      <c r="B11" s="19"/>
      <c r="C11" s="19"/>
      <c r="D11" s="20">
        <f t="shared" si="0"/>
        <v>0</v>
      </c>
      <c r="E11" s="15"/>
      <c r="F11" s="15"/>
      <c r="G11" s="15"/>
      <c r="H11" s="15"/>
      <c r="I11" s="15"/>
      <c r="J11" s="15"/>
      <c r="K11" s="15"/>
      <c r="L11" s="15"/>
      <c r="M11" s="15"/>
    </row>
    <row r="12" ht="20.1" customHeight="1" spans="1:13">
      <c r="A12" s="22"/>
      <c r="B12" s="22" t="s">
        <v>15</v>
      </c>
      <c r="C12" s="22">
        <f>SUM(C3:C11)</f>
        <v>12800</v>
      </c>
      <c r="D12" s="22">
        <f>SUM(D3:D11)</f>
        <v>10240</v>
      </c>
      <c r="E12" s="15"/>
      <c r="F12" s="15"/>
      <c r="G12" s="15"/>
      <c r="H12" s="15"/>
      <c r="I12" s="15"/>
      <c r="J12" s="15"/>
      <c r="K12" s="15"/>
      <c r="L12" s="15"/>
      <c r="M12" s="15"/>
    </row>
    <row r="13" ht="20.1" customHeight="1" spans="1:1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ht="20.1" customHeight="1" spans="1:13">
      <c r="A14" s="14"/>
      <c r="B14" s="14" t="s">
        <v>2</v>
      </c>
      <c r="C14" s="14" t="s">
        <v>3</v>
      </c>
      <c r="D14" s="17" t="s">
        <v>4</v>
      </c>
      <c r="E14" s="23"/>
      <c r="F14" s="24"/>
      <c r="G14" s="25"/>
      <c r="H14" s="14"/>
      <c r="I14" s="26"/>
      <c r="J14" s="26"/>
      <c r="K14" s="14"/>
      <c r="L14" s="14"/>
      <c r="M14" s="14"/>
    </row>
    <row r="15" ht="20.1" customHeight="1" spans="1:13">
      <c r="A15" s="27" t="s">
        <v>105</v>
      </c>
      <c r="B15" s="28" t="s">
        <v>6</v>
      </c>
      <c r="C15" s="29">
        <v>12800</v>
      </c>
      <c r="D15" s="30">
        <v>10240</v>
      </c>
      <c r="E15" s="14"/>
      <c r="F15" s="14"/>
      <c r="G15" s="26"/>
      <c r="H15" s="14"/>
      <c r="I15" s="31" t="s">
        <v>17</v>
      </c>
      <c r="J15" s="32"/>
      <c r="K15" s="28"/>
      <c r="L15" s="28"/>
      <c r="M15" s="28"/>
    </row>
    <row r="16" ht="20.1" customHeight="1" spans="1:13">
      <c r="A16" s="28" t="s">
        <v>18</v>
      </c>
      <c r="B16" s="28" t="s">
        <v>1</v>
      </c>
      <c r="C16" s="28" t="s">
        <v>19</v>
      </c>
      <c r="D16" s="28" t="s">
        <v>20</v>
      </c>
      <c r="E16" s="28" t="s">
        <v>21</v>
      </c>
      <c r="F16" s="28" t="s">
        <v>22</v>
      </c>
      <c r="G16" s="28" t="s">
        <v>23</v>
      </c>
      <c r="H16" s="28" t="s">
        <v>24</v>
      </c>
      <c r="I16" s="33" t="s">
        <v>25</v>
      </c>
      <c r="J16" s="33" t="s">
        <v>26</v>
      </c>
      <c r="K16" s="28" t="s">
        <v>27</v>
      </c>
      <c r="L16" s="28" t="s">
        <v>28</v>
      </c>
      <c r="M16" s="28" t="s">
        <v>15</v>
      </c>
    </row>
    <row r="17" ht="20.1" customHeight="1" spans="1:13">
      <c r="A17" s="34" t="s">
        <v>89</v>
      </c>
      <c r="B17" s="2" t="s">
        <v>90</v>
      </c>
      <c r="C17" s="2">
        <v>50</v>
      </c>
      <c r="D17" s="35">
        <v>54.82</v>
      </c>
      <c r="E17" s="35">
        <v>61.8</v>
      </c>
      <c r="F17" s="36">
        <f t="shared" ref="F17:F24" si="1">E17/D17</f>
        <v>1.12732579350602</v>
      </c>
      <c r="G17" s="28">
        <v>1</v>
      </c>
      <c r="H17" s="37" t="s">
        <v>91</v>
      </c>
      <c r="I17" s="28">
        <v>7</v>
      </c>
      <c r="J17" s="28">
        <v>7</v>
      </c>
      <c r="K17" s="28">
        <f>$D$15*0.4*SUM(I17:J17)/SUM($I$17:$J$24)</f>
        <v>512</v>
      </c>
      <c r="L17" s="38">
        <f>D15*0.6*0.4*0.6</f>
        <v>1474.56</v>
      </c>
      <c r="M17" s="38">
        <f t="shared" ref="M17:M25" si="2">SUM(K17:L17)</f>
        <v>1986.56</v>
      </c>
    </row>
    <row r="18" ht="20.1" customHeight="1" spans="1:13">
      <c r="A18" s="34" t="s">
        <v>92</v>
      </c>
      <c r="B18" s="2" t="s">
        <v>90</v>
      </c>
      <c r="C18" s="2">
        <v>45</v>
      </c>
      <c r="D18" s="35">
        <v>54.82</v>
      </c>
      <c r="E18" s="35">
        <v>60.1111111111111</v>
      </c>
      <c r="F18" s="36">
        <f t="shared" si="1"/>
        <v>1.09651789695569</v>
      </c>
      <c r="G18" s="28">
        <v>2</v>
      </c>
      <c r="H18" s="39" t="s">
        <v>106</v>
      </c>
      <c r="I18" s="28">
        <v>7</v>
      </c>
      <c r="J18" s="28">
        <v>7</v>
      </c>
      <c r="K18" s="28">
        <f t="shared" ref="K17:K24" si="3">$D$15*0.4*SUM(I18:J18)/SUM($I$17:$J$24)</f>
        <v>512</v>
      </c>
      <c r="L18" s="38">
        <f>D15*0.6*0.4*0.4</f>
        <v>983.04</v>
      </c>
      <c r="M18" s="38">
        <f t="shared" si="2"/>
        <v>1495.04</v>
      </c>
    </row>
    <row r="19" ht="20.1" customHeight="1" spans="1:13">
      <c r="A19" s="34" t="s">
        <v>94</v>
      </c>
      <c r="B19" s="2" t="s">
        <v>90</v>
      </c>
      <c r="C19" s="2">
        <v>43</v>
      </c>
      <c r="D19" s="35">
        <v>54.82</v>
      </c>
      <c r="E19" s="35">
        <v>53.7441860465116</v>
      </c>
      <c r="F19" s="36">
        <f t="shared" si="1"/>
        <v>0.980375520731696</v>
      </c>
      <c r="G19" s="28">
        <v>3</v>
      </c>
      <c r="H19" s="39" t="s">
        <v>95</v>
      </c>
      <c r="I19" s="28">
        <v>7</v>
      </c>
      <c r="J19" s="28">
        <v>7</v>
      </c>
      <c r="K19" s="28">
        <f t="shared" si="3"/>
        <v>512</v>
      </c>
      <c r="L19" s="38">
        <f>D15*0.6*0.6*0.3</f>
        <v>1105.92</v>
      </c>
      <c r="M19" s="38">
        <f t="shared" si="2"/>
        <v>1617.92</v>
      </c>
    </row>
    <row r="20" ht="20.1" customHeight="1" spans="1:13">
      <c r="A20" s="34" t="s">
        <v>96</v>
      </c>
      <c r="B20" s="2" t="s">
        <v>90</v>
      </c>
      <c r="C20" s="2">
        <v>45</v>
      </c>
      <c r="D20" s="35">
        <v>54.82</v>
      </c>
      <c r="E20" s="35">
        <v>53.5777777777778</v>
      </c>
      <c r="F20" s="36">
        <f t="shared" si="1"/>
        <v>0.977339981353116</v>
      </c>
      <c r="G20" s="28">
        <v>4</v>
      </c>
      <c r="H20" s="39" t="s">
        <v>91</v>
      </c>
      <c r="I20" s="28">
        <v>7</v>
      </c>
      <c r="J20" s="28">
        <v>7</v>
      </c>
      <c r="K20" s="28">
        <f t="shared" si="3"/>
        <v>512</v>
      </c>
      <c r="L20" s="38">
        <f>D15*0.6*0.6*0.2</f>
        <v>737.28</v>
      </c>
      <c r="M20" s="38">
        <f t="shared" si="2"/>
        <v>1249.28</v>
      </c>
    </row>
    <row r="21" ht="20.1" customHeight="1" spans="1:13">
      <c r="A21" s="34" t="s">
        <v>97</v>
      </c>
      <c r="B21" s="2" t="s">
        <v>90</v>
      </c>
      <c r="C21" s="2">
        <v>50</v>
      </c>
      <c r="D21" s="35">
        <v>54.82</v>
      </c>
      <c r="E21" s="35">
        <v>52.74</v>
      </c>
      <c r="F21" s="36">
        <f t="shared" si="1"/>
        <v>0.962057643195914</v>
      </c>
      <c r="G21" s="28">
        <v>5</v>
      </c>
      <c r="H21" s="39" t="s">
        <v>98</v>
      </c>
      <c r="I21" s="28">
        <v>7</v>
      </c>
      <c r="J21" s="28">
        <v>7</v>
      </c>
      <c r="K21" s="28">
        <f t="shared" si="3"/>
        <v>512</v>
      </c>
      <c r="L21" s="38">
        <f>D15*0.6*0.6*0.15</f>
        <v>552.96</v>
      </c>
      <c r="M21" s="38">
        <f t="shared" si="2"/>
        <v>1064.96</v>
      </c>
    </row>
    <row r="22" ht="20.1" customHeight="1" spans="1:13">
      <c r="A22" s="34" t="s">
        <v>99</v>
      </c>
      <c r="B22" s="2" t="s">
        <v>90</v>
      </c>
      <c r="C22" s="2">
        <v>32</v>
      </c>
      <c r="D22" s="35">
        <v>54.82</v>
      </c>
      <c r="E22" s="35">
        <v>52.3125</v>
      </c>
      <c r="F22" s="36">
        <f t="shared" si="1"/>
        <v>0.954259394381613</v>
      </c>
      <c r="G22" s="28">
        <v>6</v>
      </c>
      <c r="H22" s="39" t="s">
        <v>95</v>
      </c>
      <c r="I22" s="28">
        <v>7</v>
      </c>
      <c r="J22" s="28">
        <v>7</v>
      </c>
      <c r="K22" s="28">
        <f t="shared" si="3"/>
        <v>512</v>
      </c>
      <c r="L22" s="38">
        <f>D15*0.6*0.6*0.15</f>
        <v>552.96</v>
      </c>
      <c r="M22" s="38">
        <f t="shared" si="2"/>
        <v>1064.96</v>
      </c>
    </row>
    <row r="23" ht="20.1" customHeight="1" spans="1:13">
      <c r="A23" s="34" t="s">
        <v>100</v>
      </c>
      <c r="B23" s="2" t="s">
        <v>90</v>
      </c>
      <c r="C23" s="2">
        <v>46</v>
      </c>
      <c r="D23" s="35">
        <v>54.82</v>
      </c>
      <c r="E23" s="35">
        <v>51.4347826086956</v>
      </c>
      <c r="F23" s="36">
        <f t="shared" si="1"/>
        <v>0.938248497057563</v>
      </c>
      <c r="G23" s="28">
        <v>7</v>
      </c>
      <c r="H23" s="39" t="s">
        <v>98</v>
      </c>
      <c r="I23" s="28">
        <v>7</v>
      </c>
      <c r="J23" s="28">
        <v>7</v>
      </c>
      <c r="K23" s="28">
        <f t="shared" si="3"/>
        <v>512</v>
      </c>
      <c r="L23" s="38">
        <f>D15*0.6*0.6*0.1</f>
        <v>368.64</v>
      </c>
      <c r="M23" s="38">
        <f t="shared" si="2"/>
        <v>880.64</v>
      </c>
    </row>
    <row r="24" ht="20.1" customHeight="1" spans="1:13">
      <c r="A24" s="34" t="s">
        <v>101</v>
      </c>
      <c r="B24" s="2" t="s">
        <v>90</v>
      </c>
      <c r="C24" s="2">
        <v>32</v>
      </c>
      <c r="D24" s="35">
        <v>54.82</v>
      </c>
      <c r="E24" s="35">
        <v>50.28125</v>
      </c>
      <c r="F24" s="36">
        <f t="shared" si="1"/>
        <v>0.917206311565122</v>
      </c>
      <c r="G24" s="28">
        <v>8</v>
      </c>
      <c r="H24" s="39" t="s">
        <v>102</v>
      </c>
      <c r="I24" s="28">
        <v>7</v>
      </c>
      <c r="J24" s="28">
        <v>7</v>
      </c>
      <c r="K24" s="28">
        <f t="shared" si="3"/>
        <v>512</v>
      </c>
      <c r="L24" s="38">
        <f>D15*0.6*0.6*0.1</f>
        <v>368.64</v>
      </c>
      <c r="M24" s="38">
        <f t="shared" si="2"/>
        <v>880.64</v>
      </c>
    </row>
    <row r="25" ht="20.1" customHeight="1" spans="1:13">
      <c r="A25" s="14"/>
      <c r="B25" s="14"/>
      <c r="C25" s="14"/>
      <c r="D25" s="23"/>
      <c r="E25" s="23"/>
      <c r="F25" s="40"/>
      <c r="G25" s="25"/>
      <c r="H25" s="14"/>
      <c r="I25" s="26"/>
      <c r="J25" s="28" t="s">
        <v>15</v>
      </c>
      <c r="K25" s="41">
        <f>SUM(K17:K24)</f>
        <v>4096</v>
      </c>
      <c r="L25" s="41">
        <f>SUM(L17:L24)</f>
        <v>6144</v>
      </c>
      <c r="M25" s="41">
        <f t="shared" si="2"/>
        <v>10240</v>
      </c>
    </row>
    <row r="28" spans="1:13">
      <c r="H28" t="s">
        <v>107</v>
      </c>
      <c r="I28" t="s">
        <v>108</v>
      </c>
    </row>
    <row r="29" spans="1:13">
      <c r="H29" t="s">
        <v>91</v>
      </c>
      <c r="I29">
        <f ca="1">SUMIF(H17:M24,H29,M17:M24)</f>
        <v>3235.84</v>
      </c>
    </row>
    <row r="30" spans="1:13">
      <c r="H30" t="s">
        <v>106</v>
      </c>
      <c r="I30">
        <f ca="1">SUMIF(H18:M25,H30,M18:M25)</f>
        <v>1495.04</v>
      </c>
    </row>
    <row r="31" spans="1:13">
      <c r="H31" t="s">
        <v>95</v>
      </c>
      <c r="I31">
        <f ca="1">SUMIF(H19:M26,H31,M19:M26)</f>
        <v>2682.88</v>
      </c>
    </row>
    <row r="32" spans="1:13">
      <c r="H32" t="s">
        <v>98</v>
      </c>
      <c r="I32">
        <f ca="1">SUMIF(H20:M27,H32,M20:M27)</f>
        <v>1945.6</v>
      </c>
    </row>
    <row r="33" spans="8:9">
      <c r="H33" t="s">
        <v>102</v>
      </c>
      <c r="I33">
        <f ca="1">SUMIF(H21:M28,H33,M21:M28)</f>
        <v>880.64</v>
      </c>
    </row>
    <row r="34" spans="8:9">
      <c r="I34">
        <f ca="1">SUM(I29:I33)</f>
        <v>10240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zoomScale="90" zoomScaleNormal="90" topLeftCell="A17" workbookViewId="0">
      <selection activeCell="F56" sqref="F56"/>
    </sheetView>
  </sheetViews>
  <sheetFormatPr defaultColWidth="9" defaultRowHeight="13.5" outlineLevelCol="4"/>
  <cols>
    <col min="1" max="1" width="12.375" customWidth="1"/>
    <col min="2" max="2" width="15.5" customWidth="1"/>
    <col min="3" max="3" width="15.125" customWidth="1"/>
    <col min="4" max="4" width="20.625" customWidth="1"/>
    <col min="5" max="5" width="18" customWidth="1"/>
    <col min="7" max="8" width="12.625"/>
  </cols>
  <sheetData>
    <row r="1" ht="30" customHeight="1" spans="1:5">
      <c r="A1" s="1" t="s">
        <v>1</v>
      </c>
      <c r="B1" s="2" t="s">
        <v>24</v>
      </c>
      <c r="C1" s="2" t="s">
        <v>109</v>
      </c>
      <c r="D1" s="2" t="s">
        <v>110</v>
      </c>
      <c r="E1" s="2" t="s">
        <v>111</v>
      </c>
    </row>
    <row r="2" ht="30" customHeight="1" spans="1:5">
      <c r="A2" s="3" t="s">
        <v>30</v>
      </c>
      <c r="B2" s="2" t="s">
        <v>31</v>
      </c>
      <c r="C2" s="4">
        <f>质量奖!M19+质量奖!M71</f>
        <v>4057.82301825959</v>
      </c>
      <c r="D2" s="4"/>
      <c r="E2" s="5">
        <f>SUM(C2:C10)</f>
        <v>31200</v>
      </c>
    </row>
    <row r="3" ht="30" customHeight="1" spans="1:5">
      <c r="A3" s="6"/>
      <c r="B3" s="2" t="s">
        <v>81</v>
      </c>
      <c r="C3" s="4">
        <f>质量奖!M20*0.5+质量奖!M75+质量奖!M72*0.5</f>
        <v>4007.19597962272</v>
      </c>
      <c r="D3" s="4"/>
      <c r="E3" s="7"/>
    </row>
    <row r="4" ht="30" customHeight="1" spans="1:5">
      <c r="A4" s="6"/>
      <c r="B4" s="2" t="s">
        <v>35</v>
      </c>
      <c r="C4" s="4">
        <f>质量奖!M21+质量奖!M73</f>
        <v>3919.76219585861</v>
      </c>
      <c r="D4" s="4"/>
      <c r="E4" s="7"/>
    </row>
    <row r="5" ht="30" customHeight="1" spans="1:5">
      <c r="A5" s="6"/>
      <c r="B5" s="2" t="s">
        <v>37</v>
      </c>
      <c r="C5" s="4">
        <f>质量奖!M22+质量奖!M70</f>
        <v>3996.84301477348</v>
      </c>
      <c r="D5" s="4"/>
      <c r="E5" s="7"/>
    </row>
    <row r="6" ht="30" customHeight="1" spans="1:5">
      <c r="A6" s="6"/>
      <c r="B6" s="2" t="s">
        <v>112</v>
      </c>
      <c r="C6" s="4">
        <f>质量奖!M23+质量奖!M69</f>
        <v>4006.37624269146</v>
      </c>
      <c r="D6" s="4"/>
      <c r="E6" s="7"/>
    </row>
    <row r="7" ht="30" customHeight="1" spans="1:5">
      <c r="A7" s="6"/>
      <c r="B7" s="2" t="s">
        <v>41</v>
      </c>
      <c r="C7" s="4">
        <f>质量奖!M24+质量奖!M72*0.5+质量奖!M76</f>
        <v>4787.35585172713</v>
      </c>
      <c r="D7" s="4"/>
      <c r="E7" s="7"/>
    </row>
    <row r="8" ht="30" customHeight="1" spans="1:5">
      <c r="A8" s="6"/>
      <c r="B8" s="2" t="s">
        <v>43</v>
      </c>
      <c r="C8" s="4">
        <f>质量奖!M25</f>
        <v>1732.74876963056</v>
      </c>
      <c r="D8" s="4"/>
      <c r="E8" s="7"/>
    </row>
    <row r="9" ht="30" customHeight="1" spans="1:5">
      <c r="A9" s="6"/>
      <c r="B9" s="2" t="s">
        <v>45</v>
      </c>
      <c r="C9" s="4">
        <f>质量奖!M26+质量奖!M74</f>
        <v>3759.96045919841</v>
      </c>
      <c r="D9" s="4"/>
      <c r="E9" s="7"/>
    </row>
    <row r="10" ht="30" customHeight="1" spans="1:5">
      <c r="A10" s="6"/>
      <c r="B10" s="2" t="s">
        <v>113</v>
      </c>
      <c r="C10" s="4">
        <f>质量奖!M20*0.5</f>
        <v>931.934468238034</v>
      </c>
      <c r="D10" s="4"/>
      <c r="E10" s="7"/>
    </row>
    <row r="11" ht="30" customHeight="1" spans="1:5">
      <c r="A11" s="3" t="s">
        <v>48</v>
      </c>
      <c r="B11" s="2" t="s">
        <v>49</v>
      </c>
      <c r="C11" s="4">
        <f>质量奖!M31+质量奖!M86</f>
        <v>3270.70606878637</v>
      </c>
      <c r="D11" s="4"/>
      <c r="E11" s="5">
        <f>SUM(C11:C20)</f>
        <v>24000</v>
      </c>
    </row>
    <row r="12" ht="30" customHeight="1" spans="1:5">
      <c r="A12" s="6"/>
      <c r="B12" s="2" t="s">
        <v>50</v>
      </c>
      <c r="C12" s="4">
        <f>质量奖!M32+质量奖!M33*0.2</f>
        <v>1542.65031885524</v>
      </c>
      <c r="D12" s="4"/>
      <c r="E12" s="7"/>
    </row>
    <row r="13" ht="30" customHeight="1" spans="1:5">
      <c r="A13" s="6"/>
      <c r="B13" s="2" t="s">
        <v>114</v>
      </c>
      <c r="C13" s="4">
        <f>质量奖!M33*0.4</f>
        <v>500.819368567036</v>
      </c>
      <c r="D13" s="4"/>
      <c r="E13" s="7"/>
    </row>
    <row r="14" ht="30" customHeight="1" spans="1:5">
      <c r="A14" s="6"/>
      <c r="B14" s="2" t="s">
        <v>52</v>
      </c>
      <c r="C14" s="4">
        <f>质量奖!M34+质量奖!M85</f>
        <v>2860.34518578581</v>
      </c>
      <c r="D14" s="4"/>
      <c r="E14" s="7"/>
    </row>
    <row r="15" ht="30" customHeight="1" spans="1:5">
      <c r="A15" s="6"/>
      <c r="B15" s="2" t="s">
        <v>53</v>
      </c>
      <c r="C15" s="4">
        <f>质量奖!M35*0.5+质量奖!M37*0.5+质量奖!M82</f>
        <v>3418.96494487805</v>
      </c>
      <c r="D15" s="4"/>
      <c r="E15" s="7"/>
    </row>
    <row r="16" ht="30" customHeight="1" spans="1:5">
      <c r="A16" s="6"/>
      <c r="B16" s="2" t="s">
        <v>54</v>
      </c>
      <c r="C16" s="4">
        <f>质量奖!M36+质量奖!M37*0.5+质量奖!M83*0.5</f>
        <v>2655.11123144911</v>
      </c>
      <c r="D16" s="4"/>
      <c r="E16" s="7"/>
    </row>
    <row r="17" ht="30" customHeight="1" spans="1:5">
      <c r="A17" s="6"/>
      <c r="B17" s="2" t="s">
        <v>55</v>
      </c>
      <c r="C17" s="4">
        <f>质量奖!M87*0.5+质量奖!M38</f>
        <v>1901.42524386675</v>
      </c>
      <c r="D17" s="4"/>
      <c r="E17" s="7"/>
    </row>
    <row r="18" ht="30" customHeight="1" spans="1:5">
      <c r="A18" s="6"/>
      <c r="B18" s="2" t="s">
        <v>115</v>
      </c>
      <c r="C18" s="4">
        <f>质量奖!M33*0.4+质量奖!M87*0.5</f>
        <v>1335.43726888824</v>
      </c>
      <c r="D18" s="4"/>
      <c r="E18" s="7"/>
    </row>
    <row r="19" ht="30" customHeight="1" spans="1:5">
      <c r="A19" s="6"/>
      <c r="B19" s="2" t="s">
        <v>85</v>
      </c>
      <c r="C19" s="4">
        <f>质量奖!M83*0.5+质量奖!M84+质量奖!M35*0.5</f>
        <v>3330.79053952814</v>
      </c>
      <c r="D19" s="4"/>
      <c r="E19" s="7"/>
    </row>
    <row r="20" ht="30" customHeight="1" spans="1:5">
      <c r="A20" s="6"/>
      <c r="B20" s="2" t="s">
        <v>87</v>
      </c>
      <c r="C20" s="4">
        <f>质量奖!M88+质量奖!M89</f>
        <v>3183.74982939525</v>
      </c>
      <c r="D20" s="4"/>
      <c r="E20" s="7"/>
    </row>
    <row r="21" ht="30" customHeight="1" spans="1:5">
      <c r="A21" s="3" t="s">
        <v>90</v>
      </c>
      <c r="B21" s="2" t="s">
        <v>91</v>
      </c>
      <c r="C21" s="4">
        <f>质量奖!M95+质量奖!M98+进步奖!M17+进步奖!M20</f>
        <v>7210.64201724361</v>
      </c>
      <c r="D21" s="4"/>
      <c r="E21" s="5">
        <f>SUM(C21:C25)</f>
        <v>25600</v>
      </c>
    </row>
    <row r="22" ht="30" customHeight="1" spans="1:5">
      <c r="A22" s="6"/>
      <c r="B22" s="2" t="s">
        <v>106</v>
      </c>
      <c r="C22" s="4">
        <f>质量奖!M96*0.5+进步奖!M18*0.5</f>
        <v>1766.82040992334</v>
      </c>
      <c r="D22" s="4"/>
      <c r="E22" s="7"/>
    </row>
    <row r="23" ht="30" customHeight="1" spans="1:5">
      <c r="A23" s="6"/>
      <c r="B23" s="2" t="s">
        <v>95</v>
      </c>
      <c r="C23" s="4">
        <f>质量奖!M97+质量奖!M100+进步奖!M19+进步奖!M22</f>
        <v>6460.65709827778</v>
      </c>
      <c r="D23" s="4"/>
      <c r="E23" s="7"/>
    </row>
    <row r="24" ht="30" customHeight="1" spans="1:5">
      <c r="A24" s="6"/>
      <c r="B24" s="2" t="s">
        <v>98</v>
      </c>
      <c r="C24" s="4">
        <f>质量奖!M99+质量奖!M101+进步奖!M21+进步奖!M23</f>
        <v>5683.59829521188</v>
      </c>
      <c r="D24" s="4"/>
      <c r="E24" s="7"/>
    </row>
    <row r="25" ht="30" customHeight="1" spans="1:5">
      <c r="A25" s="6"/>
      <c r="B25" s="2" t="s">
        <v>102</v>
      </c>
      <c r="C25" s="4">
        <f>质量奖!M96*0.5+质量奖!M102+进步奖!M18*0.5+进步奖!M24</f>
        <v>4478.28217934338</v>
      </c>
      <c r="D25" s="4"/>
      <c r="E25" s="7"/>
    </row>
    <row r="26" ht="30" customHeight="1" spans="1:5">
      <c r="A26" s="3" t="s">
        <v>57</v>
      </c>
      <c r="B26" s="8" t="s">
        <v>58</v>
      </c>
      <c r="C26" s="4">
        <f>质量奖!M43</f>
        <v>1006.61514982555</v>
      </c>
      <c r="D26" s="4"/>
      <c r="E26" s="5">
        <f>SUM(C26:C31)</f>
        <v>7200</v>
      </c>
    </row>
    <row r="27" ht="30" customHeight="1" spans="1:5">
      <c r="A27" s="6"/>
      <c r="B27" s="8" t="s">
        <v>116</v>
      </c>
      <c r="C27" s="4">
        <f>质量奖!M44*0.5</f>
        <v>471.463681661358</v>
      </c>
      <c r="D27" s="4"/>
      <c r="E27" s="7"/>
    </row>
    <row r="28" ht="30" customHeight="1" spans="1:5">
      <c r="A28" s="6"/>
      <c r="B28" s="9" t="s">
        <v>60</v>
      </c>
      <c r="C28" s="4">
        <f>质量奖!M45+质量奖!M49</f>
        <v>1784.77820573596</v>
      </c>
      <c r="D28" s="4"/>
      <c r="E28" s="7"/>
    </row>
    <row r="29" ht="30" customHeight="1" spans="1:5">
      <c r="A29" s="6"/>
      <c r="B29" s="8" t="s">
        <v>61</v>
      </c>
      <c r="C29" s="4">
        <f>质量奖!M46+质量奖!M47</f>
        <v>1778.96505335914</v>
      </c>
      <c r="D29" s="4"/>
      <c r="E29" s="7"/>
    </row>
    <row r="30" ht="30" customHeight="1" spans="1:5">
      <c r="A30" s="6"/>
      <c r="B30" s="8" t="s">
        <v>63</v>
      </c>
      <c r="C30" s="4">
        <f>质量奖!M50</f>
        <v>811.913198642424</v>
      </c>
      <c r="D30" s="4"/>
      <c r="E30" s="7"/>
    </row>
    <row r="31" ht="30" customHeight="1" spans="1:5">
      <c r="A31" s="10"/>
      <c r="B31" s="8" t="s">
        <v>62</v>
      </c>
      <c r="C31" s="4">
        <f>质量奖!M44*0.5+质量奖!M48</f>
        <v>1346.26471077557</v>
      </c>
      <c r="D31" s="4"/>
      <c r="E31" s="11"/>
    </row>
    <row r="32" ht="30" customHeight="1" spans="1:5">
      <c r="A32" s="2" t="s">
        <v>65</v>
      </c>
      <c r="B32" s="12" t="s">
        <v>66</v>
      </c>
      <c r="C32" s="4">
        <f>质量奖!M55+质量奖!M58</f>
        <v>3854.61127581776</v>
      </c>
      <c r="D32" s="4"/>
      <c r="E32" s="2">
        <f>SUM(C32:C34)</f>
        <v>9600</v>
      </c>
    </row>
    <row r="33" ht="30" customHeight="1" spans="1:5">
      <c r="A33" s="2"/>
      <c r="B33" s="8" t="s">
        <v>67</v>
      </c>
      <c r="C33" s="4">
        <f>质量奖!M56</f>
        <v>2003.35493171404</v>
      </c>
      <c r="D33" s="4"/>
      <c r="E33" s="2"/>
    </row>
    <row r="34" ht="30" customHeight="1" spans="1:5">
      <c r="A34" s="2"/>
      <c r="B34" s="8" t="s">
        <v>68</v>
      </c>
      <c r="C34" s="4">
        <f>质量奖!M57+质量奖!M59</f>
        <v>3742.0337924682</v>
      </c>
      <c r="D34" s="4"/>
      <c r="E34" s="2"/>
    </row>
    <row r="35" ht="30" customHeight="1" spans="1:5">
      <c r="A35" s="2" t="s">
        <v>70</v>
      </c>
      <c r="B35" s="2" t="s">
        <v>71</v>
      </c>
      <c r="C35" s="4">
        <f>质量奖!M64</f>
        <v>2400</v>
      </c>
      <c r="D35" s="4"/>
      <c r="E35" s="2">
        <f>SUM(C35:C35)</f>
        <v>2400</v>
      </c>
    </row>
    <row r="36" ht="30" customHeight="1" spans="1:5">
      <c r="A36" s="2" t="s">
        <v>15</v>
      </c>
      <c r="B36" s="2"/>
      <c r="C36" s="2"/>
      <c r="D36" s="2"/>
      <c r="E36" s="2">
        <f>SUM(E2:E35)</f>
        <v>100000</v>
      </c>
    </row>
  </sheetData>
  <mergeCells count="10">
    <mergeCell ref="A2:A10"/>
    <mergeCell ref="A11:A18"/>
    <mergeCell ref="A21:A24"/>
    <mergeCell ref="A26:A31"/>
    <mergeCell ref="A32:A34"/>
    <mergeCell ref="E2:E10"/>
    <mergeCell ref="E11:E20"/>
    <mergeCell ref="E21:E24"/>
    <mergeCell ref="E26:E31"/>
    <mergeCell ref="E32:E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质量奖</vt:lpstr>
      <vt:lpstr>进步奖</vt:lpstr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漠尘</cp:lastModifiedBy>
  <dcterms:created xsi:type="dcterms:W3CDTF">2023-05-12T11:15:00Z</dcterms:created>
  <dcterms:modified xsi:type="dcterms:W3CDTF">2025-12-25T04:40:23Z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20E6F00A15A94942B2B540F52AFFB1DA_13</vt:lpwstr>
  </property>
  <property fmtid="{D5CDD505-2E9C-101B-9397-08002B2CF9AE}" pid="4" name="CalculationRule">
    <vt:i4>0</vt:i4>
  </property>
</Properties>
</file>