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3"/>
  </bookViews>
  <sheets>
    <sheet name="质量奖" sheetId="1" r:id="rId1"/>
    <sheet name="进步奖" sheetId="2" r:id="rId2"/>
    <sheet name="总合计" sheetId="4" r:id="rId3"/>
    <sheet name="进步奖单列" sheetId="5" r:id="rId4"/>
  </sheets>
  <externalReferences>
    <externalReference r:id="rId5"/>
  </externalReferences>
  <definedNames>
    <definedName name="科类">[1]成绩册!$F$3:$F$613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<sst xmlns="http://schemas.openxmlformats.org/spreadsheetml/2006/main" count="673" uniqueCount="138">
  <si>
    <t>高三教学质量奖</t>
  </si>
  <si>
    <t>科目</t>
  </si>
  <si>
    <t>奖项</t>
  </si>
  <si>
    <t>奖励金额/元</t>
  </si>
  <si>
    <t>实发金额/元</t>
  </si>
  <si>
    <t>高三物理类化学（7个班）</t>
  </si>
  <si>
    <t>一等奖</t>
  </si>
  <si>
    <t>高三历史类生物（2个班）</t>
  </si>
  <si>
    <t>二等奖</t>
  </si>
  <si>
    <t>高三物理类语文（8个班）</t>
  </si>
  <si>
    <t>三等奖</t>
  </si>
  <si>
    <t>高三物理类数学（5个班）</t>
  </si>
  <si>
    <t>高三物理类物理（4个班）</t>
  </si>
  <si>
    <t>高三物理类英语（5个班）</t>
  </si>
  <si>
    <t>高三物理类生物（4个班）</t>
  </si>
  <si>
    <t>高三物理类政治（1个班）</t>
  </si>
  <si>
    <t>高三历史类语文（7个班）</t>
  </si>
  <si>
    <t>高三历史类数学（7个班）</t>
  </si>
  <si>
    <t>高三历史类历史（7个班）</t>
  </si>
  <si>
    <t>高三历史类政治（5个班）</t>
  </si>
  <si>
    <t>合计</t>
  </si>
  <si>
    <t>1.高三物理类化学</t>
  </si>
  <si>
    <t>工作量</t>
  </si>
  <si>
    <t>班级</t>
  </si>
  <si>
    <t>参考人数</t>
  </si>
  <si>
    <t xml:space="preserve">年级平均分 </t>
  </si>
  <si>
    <t>班平均分</t>
  </si>
  <si>
    <t>班平均分/年级平均分</t>
  </si>
  <si>
    <t>名次</t>
  </si>
  <si>
    <t>任课课师</t>
  </si>
  <si>
    <t>上期课时</t>
  </si>
  <si>
    <t>下期课时</t>
  </si>
  <si>
    <t>课时奖</t>
  </si>
  <si>
    <t>贡献奖</t>
  </si>
  <si>
    <t>高三年级理（1）班</t>
  </si>
  <si>
    <t>化学</t>
  </si>
  <si>
    <t>叶小军</t>
  </si>
  <si>
    <t>高三年级理（2）班</t>
  </si>
  <si>
    <t>李荣鑫</t>
  </si>
  <si>
    <t>高三年级理（3）班</t>
  </si>
  <si>
    <t>何传英</t>
  </si>
  <si>
    <t>高三年级理（6）班</t>
  </si>
  <si>
    <t>高三年级理（4）班</t>
  </si>
  <si>
    <t>刘厚江</t>
  </si>
  <si>
    <t>高三年级理（16）班</t>
  </si>
  <si>
    <t>高三年级理（7）班</t>
  </si>
  <si>
    <t>高三年级理（8）班</t>
  </si>
  <si>
    <t>李荣鑫/马红琦</t>
  </si>
  <si>
    <t>2.高三历史类生物</t>
  </si>
  <si>
    <t>高三年级文（13）班</t>
  </si>
  <si>
    <t>生物</t>
  </si>
  <si>
    <t>尼玛布池</t>
  </si>
  <si>
    <t>高三年级文（12）班</t>
  </si>
  <si>
    <t>张弘</t>
  </si>
  <si>
    <t>3.高三物理类语文</t>
  </si>
  <si>
    <t xml:space="preserve"> </t>
  </si>
  <si>
    <t>语文</t>
  </si>
  <si>
    <t>周菊明</t>
  </si>
  <si>
    <t>肖锐</t>
  </si>
  <si>
    <t>易涛</t>
  </si>
  <si>
    <t>陈光汇</t>
  </si>
  <si>
    <t>高三年级理（5）班</t>
  </si>
  <si>
    <t>格绒燚西</t>
  </si>
  <si>
    <t>何东霖</t>
  </si>
  <si>
    <t>岳子琦</t>
  </si>
  <si>
    <t>4.高三物理类数学</t>
  </si>
  <si>
    <t>数学</t>
  </si>
  <si>
    <t>赵云川</t>
  </si>
  <si>
    <t>潘勇</t>
  </si>
  <si>
    <t>央宗娜姆</t>
  </si>
  <si>
    <t>杜东洋</t>
  </si>
  <si>
    <t>喇燕</t>
  </si>
  <si>
    <t>曹云萍</t>
  </si>
  <si>
    <t>徐万雄</t>
  </si>
  <si>
    <t>5.高三物理类物理</t>
  </si>
  <si>
    <t>物理</t>
  </si>
  <si>
    <t>赵建超</t>
  </si>
  <si>
    <t>周峰</t>
  </si>
  <si>
    <t>康小平</t>
  </si>
  <si>
    <t>解超燕</t>
  </si>
  <si>
    <t>6.高三物理类英语</t>
  </si>
  <si>
    <t>英语</t>
  </si>
  <si>
    <t>拉初</t>
  </si>
  <si>
    <t>浦恩玲</t>
  </si>
  <si>
    <t>彭丹</t>
  </si>
  <si>
    <t>李永会</t>
  </si>
  <si>
    <t>东梅</t>
  </si>
  <si>
    <t>朱恩凡</t>
  </si>
  <si>
    <t>陈国萍</t>
  </si>
  <si>
    <t>7.高三物理类生物</t>
  </si>
  <si>
    <t>彭桦/高琴</t>
  </si>
  <si>
    <t>彭桦/尼玛布池</t>
  </si>
  <si>
    <t>尼玛布池/张斯杰</t>
  </si>
  <si>
    <t>8.高三物理类政治</t>
  </si>
  <si>
    <t>政治</t>
  </si>
  <si>
    <t>纪春权/沙正芳</t>
  </si>
  <si>
    <t>马巫各</t>
  </si>
  <si>
    <t>9.高三历史类语文</t>
  </si>
  <si>
    <t>高三年级理（9）班</t>
  </si>
  <si>
    <t>高三年级理（10）班</t>
  </si>
  <si>
    <t>杨翁基之玛</t>
  </si>
  <si>
    <t>高三年级理（11）班</t>
  </si>
  <si>
    <t>高三年级理（13）班</t>
  </si>
  <si>
    <t>高三年级理（12）班</t>
  </si>
  <si>
    <t>高三年级理（15）班</t>
  </si>
  <si>
    <t>高三年级理（14）班</t>
  </si>
  <si>
    <t>10.高三历史类数学</t>
  </si>
  <si>
    <t>马俊</t>
  </si>
  <si>
    <t>11.高三历史类历史</t>
  </si>
  <si>
    <t>高三年级文（9）班</t>
  </si>
  <si>
    <t>历史</t>
  </si>
  <si>
    <t>杨琴</t>
  </si>
  <si>
    <t>徐志兵</t>
  </si>
  <si>
    <t>高三年级文（11）班</t>
  </si>
  <si>
    <t>降初里</t>
  </si>
  <si>
    <t>高三年级文（10）班</t>
  </si>
  <si>
    <t>邱君益</t>
  </si>
  <si>
    <t>高三年级文（15）班</t>
  </si>
  <si>
    <t>高三年级文（14）班</t>
  </si>
  <si>
    <t>12.高三历史类政治</t>
  </si>
  <si>
    <t>胡东缘</t>
  </si>
  <si>
    <t>吴文艺</t>
  </si>
  <si>
    <t>高三教学质量进步奖</t>
  </si>
  <si>
    <t>高三物理类化学（8个班）</t>
  </si>
  <si>
    <t>学科组</t>
  </si>
  <si>
    <t>姓名</t>
  </si>
  <si>
    <t>质量奖</t>
  </si>
  <si>
    <t>进步奖</t>
  </si>
  <si>
    <t>总奖金</t>
  </si>
  <si>
    <t>学科组合计</t>
  </si>
  <si>
    <t>数学组</t>
  </si>
  <si>
    <t>英语组</t>
  </si>
  <si>
    <t>马红琦</t>
  </si>
  <si>
    <t>彭桦</t>
  </si>
  <si>
    <t>高琴</t>
  </si>
  <si>
    <t>张斯杰</t>
  </si>
  <si>
    <t>沙正芳</t>
  </si>
  <si>
    <t>纪春权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</si>
</sst>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1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4" borderId="21" applyNumberFormat="0" applyAlignment="0" applyProtection="0">
      <alignment vertical="center"/>
    </xf>
    <xf numFmtId="0" fontId="24" fillId="5" borderId="23" applyNumberFormat="0" applyAlignment="0" applyProtection="0">
      <alignment vertical="center"/>
    </xf>
    <xf numFmtId="0" fontId="25" fillId="0" borderId="24" applyNumberFormat="0" applyFill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7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7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7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7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7" fontId="0" fillId="0" borderId="4" xfId="0" applyNumberForma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0" fontId="2" fillId="0" borderId="0" xfId="0" applyNumberFormat="1" applyFont="1" applyAlignment="1">
      <alignment horizontal="center" vertical="center"/>
    </xf>
    <xf numFmtId="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0" fontId="9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7" fontId="10" fillId="0" borderId="1" xfId="0" applyNumberFormat="1" applyFont="1" applyBorder="1" applyAlignment="1">
      <alignment horizontal="center" vertical="center"/>
    </xf>
    <xf numFmtId="7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10" fontId="1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11" fillId="0" borderId="1" xfId="0" applyNumberFormat="1" applyFont="1" applyBorder="1" applyAlignment="1">
      <alignment horizontal="center" vertical="center"/>
    </xf>
    <xf numFmtId="10" fontId="11" fillId="0" borderId="1" xfId="3" applyNumberFormat="1" applyFont="1" applyFill="1" applyBorder="1" applyAlignment="1" applyProtection="1">
      <alignment horizontal="center" vertical="center"/>
    </xf>
    <xf numFmtId="177" fontId="11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0" fontId="11" fillId="0" borderId="10" xfId="0" applyFont="1" applyBorder="1">
      <alignment vertical="center"/>
    </xf>
    <xf numFmtId="176" fontId="12" fillId="0" borderId="9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1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176" fontId="8" fillId="0" borderId="13" xfId="0" applyNumberFormat="1" applyFont="1" applyFill="1" applyBorder="1" applyAlignment="1">
      <alignment horizontal="center" vertical="center" wrapText="1"/>
    </xf>
    <xf numFmtId="10" fontId="4" fillId="0" borderId="13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176" fontId="8" fillId="0" borderId="16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enjihong\Desktop\2024&#23626;&#25856;&#26525;&#33457;&#20108;&#32479;&#25968;&#25454;&#20998;&#26512;(&#32479;&#38405;&#29256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成绩册"/>
      <sheetName val="简易分析"/>
      <sheetName val="考核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7"/>
  <sheetViews>
    <sheetView workbookViewId="0">
      <selection activeCell="I14" sqref="I14"/>
    </sheetView>
  </sheetViews>
  <sheetFormatPr defaultColWidth="9" defaultRowHeight="13.5"/>
  <cols>
    <col min="1" max="1" width="24.8833333333333" customWidth="1"/>
    <col min="2" max="2" width="7" customWidth="1"/>
    <col min="3" max="4" width="12" customWidth="1"/>
    <col min="5" max="5" width="8.88333333333333" customWidth="1"/>
    <col min="6" max="6" width="20.25" customWidth="1"/>
    <col min="7" max="7" width="5.13333333333333" customWidth="1"/>
    <col min="8" max="8" width="17.25" customWidth="1"/>
    <col min="9" max="10" width="8.88333333333333" customWidth="1"/>
    <col min="11" max="11" width="12.6333333333333" customWidth="1"/>
    <col min="12" max="13" width="12.5" customWidth="1"/>
  </cols>
  <sheetData>
    <row r="1" ht="20.1" customHeight="1" spans="1:13">
      <c r="A1" s="16" t="s">
        <v>0</v>
      </c>
      <c r="B1" s="16"/>
      <c r="C1" s="16"/>
      <c r="D1" s="17"/>
      <c r="E1" s="29"/>
      <c r="F1" s="29"/>
      <c r="G1" s="29"/>
      <c r="H1" s="29"/>
      <c r="I1" s="29"/>
      <c r="J1" s="29"/>
      <c r="K1" s="17"/>
      <c r="L1" s="17"/>
      <c r="M1" s="17"/>
    </row>
    <row r="2" ht="20.1" customHeight="1" spans="1:13">
      <c r="A2" s="17" t="s">
        <v>1</v>
      </c>
      <c r="B2" s="17" t="s">
        <v>2</v>
      </c>
      <c r="C2" s="19" t="s">
        <v>3</v>
      </c>
      <c r="D2" s="20" t="s">
        <v>4</v>
      </c>
      <c r="E2" s="29"/>
      <c r="F2" s="29"/>
      <c r="G2" s="29"/>
      <c r="H2" s="29"/>
      <c r="I2" s="29"/>
      <c r="J2" s="29"/>
      <c r="K2" s="17"/>
      <c r="L2" s="17"/>
      <c r="M2" s="17"/>
    </row>
    <row r="3" ht="20.1" customHeight="1" spans="1:13">
      <c r="A3" s="21" t="s">
        <v>5</v>
      </c>
      <c r="B3" s="22" t="s">
        <v>6</v>
      </c>
      <c r="C3" s="22">
        <f>7000*0.6*7</f>
        <v>29400</v>
      </c>
      <c r="D3" s="23">
        <f t="shared" ref="D3:D14" si="0">C3*0.8</f>
        <v>23520</v>
      </c>
      <c r="E3" s="29"/>
      <c r="F3" s="29"/>
      <c r="G3" s="29"/>
      <c r="H3" s="29"/>
      <c r="I3" s="29"/>
      <c r="J3" s="29"/>
      <c r="K3" s="17"/>
      <c r="L3" s="17"/>
      <c r="M3" s="17"/>
    </row>
    <row r="4" ht="20.1" customHeight="1" spans="1:13">
      <c r="A4" s="24" t="s">
        <v>7</v>
      </c>
      <c r="B4" s="22" t="s">
        <v>8</v>
      </c>
      <c r="C4" s="22">
        <f>5000*0.6*2</f>
        <v>6000</v>
      </c>
      <c r="D4" s="23">
        <f t="shared" si="0"/>
        <v>4800</v>
      </c>
      <c r="E4" s="29"/>
      <c r="F4" s="29"/>
      <c r="G4" s="29"/>
      <c r="H4" s="29"/>
      <c r="I4" s="29"/>
      <c r="J4" s="29"/>
      <c r="K4" s="17"/>
      <c r="L4" s="17"/>
      <c r="M4" s="17"/>
    </row>
    <row r="5" ht="20.1" customHeight="1" spans="1:13">
      <c r="A5" s="24" t="s">
        <v>9</v>
      </c>
      <c r="B5" s="22" t="s">
        <v>10</v>
      </c>
      <c r="C5" s="22">
        <f>3000*8</f>
        <v>24000</v>
      </c>
      <c r="D5" s="23">
        <f t="shared" si="0"/>
        <v>19200</v>
      </c>
      <c r="E5" s="29"/>
      <c r="F5" s="29"/>
      <c r="G5" s="29"/>
      <c r="H5" s="29"/>
      <c r="I5" s="29"/>
      <c r="J5" s="29"/>
      <c r="K5" s="17"/>
      <c r="L5" s="17"/>
      <c r="M5" s="17"/>
    </row>
    <row r="6" ht="20.1" customHeight="1" spans="1:13">
      <c r="A6" s="24" t="s">
        <v>11</v>
      </c>
      <c r="B6" s="22" t="s">
        <v>10</v>
      </c>
      <c r="C6" s="22">
        <f>3000*5</f>
        <v>15000</v>
      </c>
      <c r="D6" s="23">
        <f t="shared" si="0"/>
        <v>12000</v>
      </c>
      <c r="E6" s="29"/>
      <c r="F6" s="29"/>
      <c r="G6" s="29"/>
      <c r="H6" s="29"/>
      <c r="I6" s="29"/>
      <c r="J6" s="29"/>
      <c r="K6" s="17"/>
      <c r="L6" s="17"/>
      <c r="M6" s="17"/>
    </row>
    <row r="7" ht="20.1" customHeight="1" spans="1:13">
      <c r="A7" s="24" t="s">
        <v>12</v>
      </c>
      <c r="B7" s="22" t="s">
        <v>10</v>
      </c>
      <c r="C7" s="22">
        <f>3000*0.8*4</f>
        <v>9600</v>
      </c>
      <c r="D7" s="23">
        <f t="shared" si="0"/>
        <v>7680</v>
      </c>
      <c r="E7" s="29"/>
      <c r="F7" s="29"/>
      <c r="G7" s="29"/>
      <c r="H7" s="29"/>
      <c r="I7" s="29"/>
      <c r="J7" s="29"/>
      <c r="K7" s="17"/>
      <c r="L7" s="17"/>
      <c r="M7" s="17"/>
    </row>
    <row r="8" ht="20.1" customHeight="1" spans="1:13">
      <c r="A8" s="24" t="s">
        <v>13</v>
      </c>
      <c r="B8" s="22" t="s">
        <v>10</v>
      </c>
      <c r="C8" s="22">
        <f>3000*5</f>
        <v>15000</v>
      </c>
      <c r="D8" s="23">
        <f t="shared" si="0"/>
        <v>12000</v>
      </c>
      <c r="E8" s="29"/>
      <c r="F8" s="29"/>
      <c r="G8" s="29"/>
      <c r="H8" s="29"/>
      <c r="I8" s="29"/>
      <c r="J8" s="29"/>
      <c r="K8" s="17"/>
      <c r="L8" s="17"/>
      <c r="M8" s="17"/>
    </row>
    <row r="9" ht="20.1" customHeight="1" spans="1:13">
      <c r="A9" s="24" t="s">
        <v>14</v>
      </c>
      <c r="B9" s="22" t="s">
        <v>10</v>
      </c>
      <c r="C9" s="22">
        <f>3000*0.6*4</f>
        <v>7200</v>
      </c>
      <c r="D9" s="23">
        <f t="shared" si="0"/>
        <v>5760</v>
      </c>
      <c r="E9" s="29"/>
      <c r="F9" s="29"/>
      <c r="G9" s="29"/>
      <c r="H9" s="29"/>
      <c r="I9" s="29"/>
      <c r="J9" s="29"/>
      <c r="K9" s="17"/>
      <c r="L9" s="17"/>
      <c r="M9" s="17"/>
    </row>
    <row r="10" ht="20.1" customHeight="1" spans="1:13">
      <c r="A10" s="24" t="s">
        <v>15</v>
      </c>
      <c r="B10" s="22" t="s">
        <v>10</v>
      </c>
      <c r="C10" s="22">
        <f>3000*0.6*1</f>
        <v>1800</v>
      </c>
      <c r="D10" s="23">
        <f t="shared" si="0"/>
        <v>1440</v>
      </c>
      <c r="E10" s="29"/>
      <c r="F10" s="29"/>
      <c r="G10" s="29"/>
      <c r="H10" s="29"/>
      <c r="I10" s="29"/>
      <c r="J10" s="29"/>
      <c r="K10" s="17"/>
      <c r="L10" s="17"/>
      <c r="M10" s="17"/>
    </row>
    <row r="11" ht="20.1" customHeight="1" spans="1:13">
      <c r="A11" s="24" t="s">
        <v>16</v>
      </c>
      <c r="B11" s="22" t="s">
        <v>10</v>
      </c>
      <c r="C11" s="22">
        <f t="shared" ref="C11:C14" si="1">3000*7</f>
        <v>21000</v>
      </c>
      <c r="D11" s="23">
        <f t="shared" si="0"/>
        <v>16800</v>
      </c>
      <c r="E11" s="29"/>
      <c r="F11" s="29"/>
      <c r="G11" s="29"/>
      <c r="H11" s="29"/>
      <c r="I11" s="29"/>
      <c r="J11" s="29"/>
      <c r="K11" s="17"/>
      <c r="L11" s="17"/>
      <c r="M11" s="17"/>
    </row>
    <row r="12" ht="20.1" customHeight="1" spans="1:13">
      <c r="A12" s="24" t="s">
        <v>17</v>
      </c>
      <c r="B12" s="22" t="s">
        <v>10</v>
      </c>
      <c r="C12" s="22">
        <f t="shared" si="1"/>
        <v>21000</v>
      </c>
      <c r="D12" s="23">
        <f t="shared" si="0"/>
        <v>16800</v>
      </c>
      <c r="E12" s="56"/>
      <c r="F12" s="56"/>
      <c r="G12" s="56"/>
      <c r="H12" s="56"/>
      <c r="I12" s="56"/>
      <c r="J12" s="56"/>
      <c r="K12" s="25"/>
      <c r="L12" s="25"/>
      <c r="M12" s="25"/>
    </row>
    <row r="13" ht="20.1" customHeight="1" spans="1:13">
      <c r="A13" s="24" t="s">
        <v>18</v>
      </c>
      <c r="B13" s="22" t="s">
        <v>10</v>
      </c>
      <c r="C13" s="22">
        <f>3000*0.8*7</f>
        <v>16800</v>
      </c>
      <c r="D13" s="23">
        <f t="shared" si="0"/>
        <v>13440</v>
      </c>
      <c r="E13" s="56"/>
      <c r="F13" s="56"/>
      <c r="G13" s="56"/>
      <c r="H13" s="56"/>
      <c r="I13" s="56"/>
      <c r="J13" s="56"/>
      <c r="K13" s="25"/>
      <c r="L13" s="25"/>
      <c r="M13" s="25"/>
    </row>
    <row r="14" ht="20.1" customHeight="1" spans="1:13">
      <c r="A14" s="24" t="s">
        <v>19</v>
      </c>
      <c r="B14" s="22" t="s">
        <v>10</v>
      </c>
      <c r="C14" s="22">
        <f>3000*0.6*5</f>
        <v>9000</v>
      </c>
      <c r="D14" s="23">
        <f t="shared" si="0"/>
        <v>7200</v>
      </c>
      <c r="E14" s="56"/>
      <c r="F14" s="56"/>
      <c r="G14" s="56"/>
      <c r="H14" s="56"/>
      <c r="I14" s="56"/>
      <c r="J14" s="56"/>
      <c r="K14" s="25"/>
      <c r="L14" s="25"/>
      <c r="M14" s="25"/>
    </row>
    <row r="15" ht="20.1" customHeight="1" spans="1:13">
      <c r="A15" s="17"/>
      <c r="B15" s="17" t="s">
        <v>20</v>
      </c>
      <c r="C15" s="17">
        <f>SUM(C3:C14)</f>
        <v>175800</v>
      </c>
      <c r="D15" s="17">
        <f>SUM(D3:D14)</f>
        <v>140640</v>
      </c>
      <c r="E15" s="29"/>
      <c r="F15" s="29"/>
      <c r="G15" s="29"/>
      <c r="H15" s="29"/>
      <c r="I15" s="29"/>
      <c r="J15" s="29"/>
      <c r="K15" s="17"/>
      <c r="L15" s="17"/>
      <c r="M15" s="17"/>
    </row>
    <row r="16" ht="20.1" customHeight="1" spans="1:13">
      <c r="A16" s="57"/>
      <c r="B16" s="57" t="s">
        <v>2</v>
      </c>
      <c r="C16" s="57" t="s">
        <v>3</v>
      </c>
      <c r="D16" s="58" t="s">
        <v>4</v>
      </c>
      <c r="E16" s="59"/>
      <c r="F16" s="59"/>
      <c r="G16" s="59"/>
      <c r="H16" s="59"/>
      <c r="I16" s="59"/>
      <c r="J16" s="59"/>
      <c r="K16" s="57"/>
      <c r="L16" s="57"/>
      <c r="M16" s="57"/>
    </row>
    <row r="17" ht="20.1" customHeight="1" spans="1:13">
      <c r="A17" s="60" t="s">
        <v>21</v>
      </c>
      <c r="B17" s="61" t="s">
        <v>6</v>
      </c>
      <c r="C17" s="61">
        <f>C3</f>
        <v>29400</v>
      </c>
      <c r="D17" s="62">
        <f>D3</f>
        <v>23520</v>
      </c>
      <c r="E17" s="59"/>
      <c r="F17" s="59"/>
      <c r="G17" s="59"/>
      <c r="H17" s="59"/>
      <c r="I17" s="63" t="s">
        <v>22</v>
      </c>
      <c r="J17" s="64"/>
      <c r="K17" s="65"/>
      <c r="L17" s="65"/>
      <c r="M17" s="65"/>
    </row>
    <row r="18" ht="20.1" customHeight="1" spans="1:13">
      <c r="A18" s="65" t="s">
        <v>23</v>
      </c>
      <c r="B18" s="65" t="s">
        <v>1</v>
      </c>
      <c r="C18" s="65" t="s">
        <v>24</v>
      </c>
      <c r="D18" s="65" t="s">
        <v>25</v>
      </c>
      <c r="E18" s="65" t="s">
        <v>26</v>
      </c>
      <c r="F18" s="65" t="s">
        <v>27</v>
      </c>
      <c r="G18" s="65" t="s">
        <v>28</v>
      </c>
      <c r="H18" s="65" t="s">
        <v>29</v>
      </c>
      <c r="I18" s="66" t="s">
        <v>30</v>
      </c>
      <c r="J18" s="66" t="s">
        <v>31</v>
      </c>
      <c r="K18" s="65" t="s">
        <v>32</v>
      </c>
      <c r="L18" s="65" t="s">
        <v>33</v>
      </c>
      <c r="M18" s="65" t="s">
        <v>20</v>
      </c>
    </row>
    <row r="19" ht="20.1" customHeight="1" spans="1:13">
      <c r="A19" s="49" t="s">
        <v>34</v>
      </c>
      <c r="B19" s="50" t="s">
        <v>35</v>
      </c>
      <c r="C19" s="50">
        <v>43</v>
      </c>
      <c r="D19" s="51">
        <v>72.06</v>
      </c>
      <c r="E19" s="52">
        <v>79.1511627906977</v>
      </c>
      <c r="F19" s="67">
        <v>1.09840636678737</v>
      </c>
      <c r="G19" s="54">
        <v>1</v>
      </c>
      <c r="H19" s="9" t="s">
        <v>36</v>
      </c>
      <c r="I19" s="65">
        <v>5</v>
      </c>
      <c r="J19" s="65">
        <v>5</v>
      </c>
      <c r="K19" s="65">
        <f>$D$17*0.4*SUM(I19:J19)/SUM($I$19:$J$26)</f>
        <v>1176</v>
      </c>
      <c r="L19" s="68">
        <f>$D$17*0.6*0.7*E19/SUM($E$19:$E$26)+$D$17*0.6*0.3*F19/SUM($F$19:$F$26)</f>
        <v>1937.53442854937</v>
      </c>
      <c r="M19" s="68">
        <f>SUM(K19:L19)</f>
        <v>3113.53442854937</v>
      </c>
    </row>
    <row r="20" ht="20.1" customHeight="1" spans="1:13">
      <c r="A20" s="49" t="s">
        <v>37</v>
      </c>
      <c r="B20" s="50" t="s">
        <v>35</v>
      </c>
      <c r="C20" s="50">
        <v>46</v>
      </c>
      <c r="D20" s="51">
        <v>72.06</v>
      </c>
      <c r="E20" s="52">
        <v>78.2782608695652</v>
      </c>
      <c r="F20" s="67">
        <v>1.08629282361317</v>
      </c>
      <c r="G20" s="54">
        <v>2</v>
      </c>
      <c r="H20" s="9" t="s">
        <v>38</v>
      </c>
      <c r="I20" s="65">
        <v>5</v>
      </c>
      <c r="J20" s="65">
        <v>5</v>
      </c>
      <c r="K20" s="65">
        <f t="shared" ref="K20:K26" si="2">$D$17*0.4*SUM(I20:J20)/SUM($I$19:$J$26)</f>
        <v>1176</v>
      </c>
      <c r="L20" s="68">
        <f t="shared" ref="L20:L26" si="3">$D$17*0.6*0.7*E20/SUM($E$19:$E$26)+$D$17*0.6*0.3*F20/SUM($F$19:$F$26)</f>
        <v>1916.1667383562</v>
      </c>
      <c r="M20" s="68">
        <f t="shared" ref="M20:M27" si="4">SUM(K20:L20)</f>
        <v>3092.1667383562</v>
      </c>
    </row>
    <row r="21" ht="20.1" customHeight="1" spans="1:13">
      <c r="A21" s="49" t="s">
        <v>39</v>
      </c>
      <c r="B21" s="50" t="s">
        <v>35</v>
      </c>
      <c r="C21" s="50">
        <v>47</v>
      </c>
      <c r="D21" s="51">
        <v>72.06</v>
      </c>
      <c r="E21" s="52">
        <v>75.5239130434783</v>
      </c>
      <c r="F21" s="67">
        <v>1.04806984517733</v>
      </c>
      <c r="G21" s="54">
        <v>3</v>
      </c>
      <c r="H21" s="9" t="s">
        <v>40</v>
      </c>
      <c r="I21" s="65">
        <v>5</v>
      </c>
      <c r="J21" s="65">
        <v>5</v>
      </c>
      <c r="K21" s="65">
        <f t="shared" si="2"/>
        <v>1176</v>
      </c>
      <c r="L21" s="68">
        <f t="shared" si="3"/>
        <v>1848.74329752368</v>
      </c>
      <c r="M21" s="68">
        <f t="shared" si="4"/>
        <v>3024.74329752368</v>
      </c>
    </row>
    <row r="22" ht="20.1" customHeight="1" spans="1:13">
      <c r="A22" s="49" t="s">
        <v>41</v>
      </c>
      <c r="B22" s="50" t="s">
        <v>35</v>
      </c>
      <c r="C22" s="50">
        <v>49</v>
      </c>
      <c r="D22" s="51">
        <v>72.06</v>
      </c>
      <c r="E22" s="52">
        <v>71.9673469387755</v>
      </c>
      <c r="F22" s="67">
        <v>0.998714223407931</v>
      </c>
      <c r="G22" s="54">
        <v>4</v>
      </c>
      <c r="H22" s="9" t="s">
        <v>38</v>
      </c>
      <c r="I22" s="65">
        <v>5</v>
      </c>
      <c r="J22" s="65">
        <v>5</v>
      </c>
      <c r="K22" s="65">
        <f t="shared" si="2"/>
        <v>1176</v>
      </c>
      <c r="L22" s="68">
        <f t="shared" si="3"/>
        <v>1761.68242523435</v>
      </c>
      <c r="M22" s="68">
        <f t="shared" si="4"/>
        <v>2937.68242523435</v>
      </c>
    </row>
    <row r="23" ht="20.1" customHeight="1" spans="1:13">
      <c r="A23" s="49" t="s">
        <v>42</v>
      </c>
      <c r="B23" s="50" t="s">
        <v>35</v>
      </c>
      <c r="C23" s="50">
        <v>48</v>
      </c>
      <c r="D23" s="51">
        <v>72.06</v>
      </c>
      <c r="E23" s="69">
        <v>71.0979166666667</v>
      </c>
      <c r="F23" s="67">
        <v>0.98664885743362</v>
      </c>
      <c r="G23" s="54">
        <v>5</v>
      </c>
      <c r="H23" s="70" t="s">
        <v>43</v>
      </c>
      <c r="I23" s="65">
        <v>5</v>
      </c>
      <c r="J23" s="65">
        <v>5</v>
      </c>
      <c r="K23" s="65">
        <f t="shared" si="2"/>
        <v>1176</v>
      </c>
      <c r="L23" s="68">
        <f t="shared" si="3"/>
        <v>1740.39971723562</v>
      </c>
      <c r="M23" s="68">
        <f t="shared" si="4"/>
        <v>2916.39971723562</v>
      </c>
    </row>
    <row r="24" ht="20.1" customHeight="1" spans="1:13">
      <c r="A24" s="49" t="s">
        <v>44</v>
      </c>
      <c r="B24" s="50" t="s">
        <v>35</v>
      </c>
      <c r="C24" s="50">
        <v>43</v>
      </c>
      <c r="D24" s="51">
        <v>72.06</v>
      </c>
      <c r="E24" s="52">
        <v>70.0206896551724</v>
      </c>
      <c r="F24" s="67">
        <v>0.971699828686822</v>
      </c>
      <c r="G24" s="54">
        <v>6</v>
      </c>
      <c r="H24" s="9" t="s">
        <v>40</v>
      </c>
      <c r="I24" s="65">
        <v>5</v>
      </c>
      <c r="J24" s="65">
        <v>5</v>
      </c>
      <c r="K24" s="65">
        <f t="shared" si="2"/>
        <v>1176</v>
      </c>
      <c r="L24" s="68">
        <f t="shared" si="3"/>
        <v>1714.03037092984</v>
      </c>
      <c r="M24" s="68">
        <f t="shared" si="4"/>
        <v>2890.03037092984</v>
      </c>
    </row>
    <row r="25" ht="20.1" customHeight="1" spans="1:13">
      <c r="A25" s="49" t="s">
        <v>45</v>
      </c>
      <c r="B25" s="50" t="s">
        <v>35</v>
      </c>
      <c r="C25" s="50">
        <v>39</v>
      </c>
      <c r="D25" s="51">
        <v>72.06</v>
      </c>
      <c r="E25" s="52">
        <v>67.8068965517241</v>
      </c>
      <c r="F25" s="67">
        <v>0.940978303521012</v>
      </c>
      <c r="G25" s="54">
        <v>7</v>
      </c>
      <c r="H25" s="9" t="s">
        <v>36</v>
      </c>
      <c r="I25" s="65">
        <v>5</v>
      </c>
      <c r="J25" s="65">
        <v>5</v>
      </c>
      <c r="K25" s="65">
        <f t="shared" si="2"/>
        <v>1176</v>
      </c>
      <c r="L25" s="68">
        <f t="shared" si="3"/>
        <v>1659.83912212963</v>
      </c>
      <c r="M25" s="68">
        <f t="shared" si="4"/>
        <v>2835.83912212963</v>
      </c>
    </row>
    <row r="26" ht="20.1" customHeight="1" spans="1:13">
      <c r="A26" s="49" t="s">
        <v>46</v>
      </c>
      <c r="B26" s="50" t="s">
        <v>35</v>
      </c>
      <c r="C26" s="50">
        <v>36</v>
      </c>
      <c r="D26" s="51">
        <v>72.06</v>
      </c>
      <c r="E26" s="52">
        <v>62.65</v>
      </c>
      <c r="F26" s="67">
        <v>0.869414376908132</v>
      </c>
      <c r="G26" s="54">
        <v>8</v>
      </c>
      <c r="H26" s="9" t="s">
        <v>47</v>
      </c>
      <c r="I26" s="65">
        <v>5</v>
      </c>
      <c r="J26" s="65">
        <v>5</v>
      </c>
      <c r="K26" s="65">
        <f t="shared" si="2"/>
        <v>1176</v>
      </c>
      <c r="L26" s="68">
        <f t="shared" si="3"/>
        <v>1533.60390004131</v>
      </c>
      <c r="M26" s="68">
        <f t="shared" si="4"/>
        <v>2709.60390004131</v>
      </c>
    </row>
    <row r="27" ht="20.1" customHeight="1" spans="1:13">
      <c r="A27" s="57"/>
      <c r="B27" s="57"/>
      <c r="C27" s="57"/>
      <c r="D27" s="71"/>
      <c r="E27" s="71"/>
      <c r="F27" s="72"/>
      <c r="G27" s="73"/>
      <c r="H27" s="57"/>
      <c r="I27" s="59"/>
      <c r="J27" s="65" t="s">
        <v>20</v>
      </c>
      <c r="K27" s="74">
        <f>SUM(K19:K26)</f>
        <v>9408</v>
      </c>
      <c r="L27" s="74">
        <f>SUM(L19:L26)</f>
        <v>14112</v>
      </c>
      <c r="M27" s="75">
        <f t="shared" si="4"/>
        <v>23520</v>
      </c>
    </row>
    <row r="28" ht="20.1" customHeight="1" spans="1:13">
      <c r="A28" s="76"/>
      <c r="B28" s="57" t="s">
        <v>2</v>
      </c>
      <c r="C28" s="57" t="s">
        <v>3</v>
      </c>
      <c r="D28" s="57" t="s">
        <v>4</v>
      </c>
      <c r="E28" s="71"/>
      <c r="F28" s="77"/>
      <c r="G28" s="57"/>
      <c r="H28" s="57"/>
      <c r="I28" s="59"/>
      <c r="J28" s="59"/>
      <c r="K28" s="57"/>
      <c r="L28" s="57"/>
      <c r="M28" s="57"/>
    </row>
    <row r="29" ht="20.1" customHeight="1" spans="1:13">
      <c r="A29" s="78" t="s">
        <v>48</v>
      </c>
      <c r="B29" s="65" t="s">
        <v>8</v>
      </c>
      <c r="C29" s="65">
        <f>C4</f>
        <v>6000</v>
      </c>
      <c r="D29" s="79">
        <f>D4</f>
        <v>4800</v>
      </c>
      <c r="E29" s="71"/>
      <c r="F29" s="77"/>
      <c r="G29" s="57"/>
      <c r="H29" s="57"/>
      <c r="I29" s="63" t="s">
        <v>22</v>
      </c>
      <c r="J29" s="64"/>
      <c r="K29" s="65"/>
      <c r="L29" s="65"/>
      <c r="M29" s="65"/>
    </row>
    <row r="30" ht="20.1" customHeight="1" spans="1:13">
      <c r="A30" s="65" t="s">
        <v>23</v>
      </c>
      <c r="B30" s="65" t="s">
        <v>1</v>
      </c>
      <c r="C30" s="65" t="s">
        <v>24</v>
      </c>
      <c r="D30" s="65" t="s">
        <v>25</v>
      </c>
      <c r="E30" s="65" t="s">
        <v>26</v>
      </c>
      <c r="F30" s="65" t="s">
        <v>27</v>
      </c>
      <c r="G30" s="65" t="s">
        <v>28</v>
      </c>
      <c r="H30" s="65" t="s">
        <v>29</v>
      </c>
      <c r="I30" s="66" t="s">
        <v>30</v>
      </c>
      <c r="J30" s="66" t="s">
        <v>31</v>
      </c>
      <c r="K30" s="65" t="s">
        <v>32</v>
      </c>
      <c r="L30" s="65" t="s">
        <v>33</v>
      </c>
      <c r="M30" s="65" t="s">
        <v>20</v>
      </c>
    </row>
    <row r="31" ht="20.1" customHeight="1" spans="1:13">
      <c r="A31" s="80" t="s">
        <v>49</v>
      </c>
      <c r="B31" s="81" t="s">
        <v>50</v>
      </c>
      <c r="C31" s="81">
        <v>32</v>
      </c>
      <c r="D31" s="82">
        <v>64.63</v>
      </c>
      <c r="E31" s="82">
        <v>66.0125</v>
      </c>
      <c r="F31" s="83">
        <v>1.02139099489401</v>
      </c>
      <c r="G31" s="65">
        <v>1</v>
      </c>
      <c r="H31" s="8" t="s">
        <v>51</v>
      </c>
      <c r="I31" s="65">
        <v>5</v>
      </c>
      <c r="J31" s="65">
        <v>5</v>
      </c>
      <c r="K31" s="65">
        <f>$D$29*0.4*SUM(I31:J31)/SUM($I$31:$J$32)</f>
        <v>960</v>
      </c>
      <c r="L31" s="68">
        <f>$D$29*0.6*0.7*E31/SUM($E$31:$E$32)+$D$29*0.6*0.3*F31/SUM($F$31:$F$32)</f>
        <v>1470.69771088525</v>
      </c>
      <c r="M31" s="68">
        <f t="shared" ref="M31:M33" si="5">SUM(K31:L31)</f>
        <v>2430.69771088525</v>
      </c>
    </row>
    <row r="32" ht="20.1" customHeight="1" spans="1:13">
      <c r="A32" s="80" t="s">
        <v>52</v>
      </c>
      <c r="B32" s="81" t="s">
        <v>50</v>
      </c>
      <c r="C32" s="81">
        <v>37</v>
      </c>
      <c r="D32" s="82">
        <v>64.63</v>
      </c>
      <c r="E32" s="82">
        <v>63.2567567567568</v>
      </c>
      <c r="F32" s="83">
        <v>0.978752232040179</v>
      </c>
      <c r="G32" s="65">
        <v>2</v>
      </c>
      <c r="H32" s="8" t="s">
        <v>53</v>
      </c>
      <c r="I32" s="65">
        <v>5</v>
      </c>
      <c r="J32" s="65">
        <v>5</v>
      </c>
      <c r="K32" s="65">
        <f>$D$29*0.4*SUM(I32:J32)/SUM($I$31:$J$32)</f>
        <v>960</v>
      </c>
      <c r="L32" s="68">
        <f>$D$29*0.6*0.7*E32/SUM($E$31:$E$32)+$D$29*0.6*0.3*F32/SUM($F$31:$F$32)</f>
        <v>1409.30228911475</v>
      </c>
      <c r="M32" s="68">
        <f t="shared" si="5"/>
        <v>2369.30228911475</v>
      </c>
    </row>
    <row r="33" ht="20.1" customHeight="1" spans="1:13">
      <c r="A33" s="64"/>
      <c r="B33" s="65"/>
      <c r="C33" s="65"/>
      <c r="D33" s="84"/>
      <c r="E33" s="71"/>
      <c r="F33" s="77"/>
      <c r="G33" s="57"/>
      <c r="H33" s="57"/>
      <c r="I33" s="59"/>
      <c r="J33" s="65" t="s">
        <v>20</v>
      </c>
      <c r="K33" s="75">
        <f>SUM(K31:K32)</f>
        <v>1920</v>
      </c>
      <c r="L33" s="75">
        <f>SUM(L31:L32)</f>
        <v>2880</v>
      </c>
      <c r="M33" s="75">
        <f t="shared" si="5"/>
        <v>4800</v>
      </c>
    </row>
    <row r="34" ht="20.1" customHeight="1" spans="1:13">
      <c r="A34" s="64"/>
      <c r="B34" s="57" t="s">
        <v>2</v>
      </c>
      <c r="C34" s="57" t="s">
        <v>3</v>
      </c>
      <c r="D34" s="57" t="s">
        <v>4</v>
      </c>
      <c r="E34" s="71"/>
      <c r="F34" s="77"/>
      <c r="G34" s="57"/>
      <c r="H34" s="57"/>
      <c r="I34" s="59"/>
      <c r="J34" s="59"/>
      <c r="K34" s="57"/>
      <c r="L34" s="57"/>
      <c r="M34" s="57"/>
    </row>
    <row r="35" ht="20.1" customHeight="1" spans="1:13">
      <c r="A35" s="78" t="s">
        <v>54</v>
      </c>
      <c r="B35" s="65" t="s">
        <v>10</v>
      </c>
      <c r="C35" s="65">
        <f>C5</f>
        <v>24000</v>
      </c>
      <c r="D35" s="79">
        <f>D5</f>
        <v>19200</v>
      </c>
      <c r="E35" s="57" t="s">
        <v>55</v>
      </c>
      <c r="F35" s="57"/>
      <c r="G35" s="57" t="s">
        <v>55</v>
      </c>
      <c r="H35" s="59"/>
      <c r="I35" s="63" t="s">
        <v>22</v>
      </c>
      <c r="J35" s="64"/>
      <c r="K35" s="65"/>
      <c r="L35" s="65"/>
      <c r="M35" s="65"/>
    </row>
    <row r="36" ht="20.1" customHeight="1" spans="1:13">
      <c r="A36" s="65" t="s">
        <v>23</v>
      </c>
      <c r="B36" s="65" t="s">
        <v>1</v>
      </c>
      <c r="C36" s="65" t="s">
        <v>24</v>
      </c>
      <c r="D36" s="65" t="s">
        <v>25</v>
      </c>
      <c r="E36" s="65" t="s">
        <v>26</v>
      </c>
      <c r="F36" s="65" t="s">
        <v>27</v>
      </c>
      <c r="G36" s="65" t="s">
        <v>28</v>
      </c>
      <c r="H36" s="65" t="s">
        <v>29</v>
      </c>
      <c r="I36" s="66" t="s">
        <v>30</v>
      </c>
      <c r="J36" s="66" t="s">
        <v>31</v>
      </c>
      <c r="K36" s="65" t="s">
        <v>32</v>
      </c>
      <c r="L36" s="65" t="s">
        <v>33</v>
      </c>
      <c r="M36" s="65" t="s">
        <v>20</v>
      </c>
    </row>
    <row r="37" ht="20.1" customHeight="1" spans="1:13">
      <c r="A37" s="80" t="s">
        <v>34</v>
      </c>
      <c r="B37" s="81" t="s">
        <v>56</v>
      </c>
      <c r="C37" s="81">
        <v>43</v>
      </c>
      <c r="D37" s="82">
        <v>96.25</v>
      </c>
      <c r="E37" s="82">
        <v>106.604651162791</v>
      </c>
      <c r="F37" s="85">
        <v>1.10758079130172</v>
      </c>
      <c r="G37" s="65">
        <v>1</v>
      </c>
      <c r="H37" s="8" t="s">
        <v>57</v>
      </c>
      <c r="I37" s="65">
        <v>7</v>
      </c>
      <c r="J37" s="65">
        <v>7</v>
      </c>
      <c r="K37" s="65">
        <f>$D$35*0.4*SUM(I37:J37)/SUM($I$37:$J$45)</f>
        <v>853.333333333333</v>
      </c>
      <c r="L37" s="68">
        <f>$D$35*0.6*0.7*E37/SUM($E$37:$E$45)+$D$35*0.6*0.3*F37/SUM($F$37:$F$45)</f>
        <v>1417.69870839646</v>
      </c>
      <c r="M37" s="68">
        <f>SUM(K37:L37)</f>
        <v>2271.0320417298</v>
      </c>
    </row>
    <row r="38" ht="20.1" customHeight="1" spans="1:13">
      <c r="A38" s="80" t="s">
        <v>37</v>
      </c>
      <c r="B38" s="81" t="s">
        <v>56</v>
      </c>
      <c r="C38" s="81">
        <v>46</v>
      </c>
      <c r="D38" s="82">
        <v>96.25</v>
      </c>
      <c r="E38" s="82">
        <v>98.0326086956522</v>
      </c>
      <c r="F38" s="85">
        <v>1.01852060982496</v>
      </c>
      <c r="G38" s="65">
        <v>2</v>
      </c>
      <c r="H38" s="8" t="s">
        <v>58</v>
      </c>
      <c r="I38" s="65">
        <v>7</v>
      </c>
      <c r="J38" s="65">
        <v>7</v>
      </c>
      <c r="K38" s="65">
        <f t="shared" ref="K37:K45" si="6">$D$35*0.4*SUM(I38:J38)/SUM($I$37:$J$45)</f>
        <v>853.333333333333</v>
      </c>
      <c r="L38" s="68">
        <f t="shared" ref="L37:L45" si="7">$D$35*0.6*0.7*E38/SUM($E$37:$E$45)+$D$35*0.6*0.3*F38/SUM($F$37:$F$45)</f>
        <v>1303.70205439096</v>
      </c>
      <c r="M38" s="68">
        <f t="shared" ref="M37:M46" si="8">SUM(K38:L38)</f>
        <v>2157.03538772429</v>
      </c>
    </row>
    <row r="39" ht="20.1" customHeight="1" spans="1:13">
      <c r="A39" s="80" t="s">
        <v>39</v>
      </c>
      <c r="B39" s="81" t="s">
        <v>56</v>
      </c>
      <c r="C39" s="81">
        <v>47</v>
      </c>
      <c r="D39" s="82">
        <v>96.25</v>
      </c>
      <c r="E39" s="82">
        <v>97.3804347826087</v>
      </c>
      <c r="F39" s="85">
        <v>1.01174477696217</v>
      </c>
      <c r="G39" s="65">
        <v>3</v>
      </c>
      <c r="H39" s="8" t="s">
        <v>59</v>
      </c>
      <c r="I39" s="65">
        <v>7</v>
      </c>
      <c r="J39" s="65">
        <v>7</v>
      </c>
      <c r="K39" s="65">
        <f t="shared" si="6"/>
        <v>853.333333333333</v>
      </c>
      <c r="L39" s="68">
        <f t="shared" si="7"/>
        <v>1295.02901710706</v>
      </c>
      <c r="M39" s="68">
        <f t="shared" si="8"/>
        <v>2148.3623504404</v>
      </c>
    </row>
    <row r="40" ht="20.1" customHeight="1" spans="1:13">
      <c r="A40" s="80" t="s">
        <v>42</v>
      </c>
      <c r="B40" s="81" t="s">
        <v>56</v>
      </c>
      <c r="C40" s="81">
        <v>48</v>
      </c>
      <c r="D40" s="82">
        <v>96.25</v>
      </c>
      <c r="E40" s="82">
        <v>96.90625</v>
      </c>
      <c r="F40" s="85">
        <v>1.00681818181818</v>
      </c>
      <c r="G40" s="65">
        <v>4</v>
      </c>
      <c r="H40" s="8" t="s">
        <v>58</v>
      </c>
      <c r="I40" s="65">
        <v>7</v>
      </c>
      <c r="J40" s="65">
        <v>7</v>
      </c>
      <c r="K40" s="65">
        <f t="shared" si="6"/>
        <v>853.333333333333</v>
      </c>
      <c r="L40" s="68">
        <f t="shared" si="7"/>
        <v>1288.72299624856</v>
      </c>
      <c r="M40" s="68">
        <f t="shared" si="8"/>
        <v>2142.0563295819</v>
      </c>
    </row>
    <row r="41" ht="20.1" customHeight="1" spans="1:13">
      <c r="A41" s="80" t="s">
        <v>41</v>
      </c>
      <c r="B41" s="81" t="s">
        <v>56</v>
      </c>
      <c r="C41" s="81">
        <v>49</v>
      </c>
      <c r="D41" s="82">
        <v>96.25</v>
      </c>
      <c r="E41" s="82">
        <v>95.6632653061225</v>
      </c>
      <c r="F41" s="85">
        <v>0.993904055128545</v>
      </c>
      <c r="G41" s="65">
        <v>5</v>
      </c>
      <c r="H41" s="8" t="s">
        <v>60</v>
      </c>
      <c r="I41" s="65">
        <v>7</v>
      </c>
      <c r="J41" s="65">
        <v>7</v>
      </c>
      <c r="K41" s="65">
        <f t="shared" si="6"/>
        <v>853.333333333333</v>
      </c>
      <c r="L41" s="68">
        <f t="shared" si="7"/>
        <v>1272.19296893882</v>
      </c>
      <c r="M41" s="68">
        <f t="shared" si="8"/>
        <v>2125.52630227215</v>
      </c>
    </row>
    <row r="42" ht="20.1" customHeight="1" spans="1:13">
      <c r="A42" s="80" t="s">
        <v>61</v>
      </c>
      <c r="B42" s="81" t="s">
        <v>56</v>
      </c>
      <c r="C42" s="81">
        <v>41</v>
      </c>
      <c r="D42" s="82">
        <v>96.25</v>
      </c>
      <c r="E42" s="82">
        <v>94.7</v>
      </c>
      <c r="F42" s="85">
        <v>0.983896103896104</v>
      </c>
      <c r="G42" s="65">
        <v>6</v>
      </c>
      <c r="H42" s="8" t="s">
        <v>62</v>
      </c>
      <c r="I42" s="65">
        <v>7</v>
      </c>
      <c r="J42" s="65">
        <v>7</v>
      </c>
      <c r="K42" s="65">
        <f t="shared" si="6"/>
        <v>853.333333333333</v>
      </c>
      <c r="L42" s="68">
        <f t="shared" si="7"/>
        <v>1259.38283387025</v>
      </c>
      <c r="M42" s="68">
        <f t="shared" si="8"/>
        <v>2112.71616720358</v>
      </c>
    </row>
    <row r="43" ht="20.1" customHeight="1" spans="1:13">
      <c r="A43" s="80" t="s">
        <v>44</v>
      </c>
      <c r="B43" s="81" t="s">
        <v>56</v>
      </c>
      <c r="C43" s="81">
        <v>29</v>
      </c>
      <c r="D43" s="82">
        <v>96.25</v>
      </c>
      <c r="E43" s="82">
        <v>94.4827586206897</v>
      </c>
      <c r="F43" s="85">
        <v>0.981639050604568</v>
      </c>
      <c r="G43" s="65">
        <v>7</v>
      </c>
      <c r="H43" s="8" t="s">
        <v>57</v>
      </c>
      <c r="I43" s="65">
        <v>7</v>
      </c>
      <c r="J43" s="65">
        <v>7</v>
      </c>
      <c r="K43" s="65">
        <f t="shared" si="6"/>
        <v>853.333333333333</v>
      </c>
      <c r="L43" s="68">
        <f t="shared" si="7"/>
        <v>1256.49381524396</v>
      </c>
      <c r="M43" s="68">
        <f t="shared" si="8"/>
        <v>2109.82714857729</v>
      </c>
    </row>
    <row r="44" ht="20.1" customHeight="1" spans="1:13">
      <c r="A44" s="80" t="s">
        <v>45</v>
      </c>
      <c r="B44" s="81" t="s">
        <v>56</v>
      </c>
      <c r="C44" s="81">
        <v>39</v>
      </c>
      <c r="D44" s="82">
        <v>96.25</v>
      </c>
      <c r="E44" s="82">
        <v>92.7051282051282</v>
      </c>
      <c r="F44" s="85">
        <v>0.963170163170163</v>
      </c>
      <c r="G44" s="65">
        <v>8</v>
      </c>
      <c r="H44" s="8" t="s">
        <v>63</v>
      </c>
      <c r="I44" s="65">
        <v>7</v>
      </c>
      <c r="J44" s="65">
        <v>7</v>
      </c>
      <c r="K44" s="65">
        <f t="shared" si="6"/>
        <v>853.333333333333</v>
      </c>
      <c r="L44" s="68">
        <f t="shared" si="7"/>
        <v>1232.85371777486</v>
      </c>
      <c r="M44" s="68">
        <f t="shared" si="8"/>
        <v>2086.18705110819</v>
      </c>
    </row>
    <row r="45" ht="20.1" customHeight="1" spans="1:13">
      <c r="A45" s="80" t="s">
        <v>46</v>
      </c>
      <c r="B45" s="81" t="s">
        <v>56</v>
      </c>
      <c r="C45" s="81">
        <v>36</v>
      </c>
      <c r="D45" s="82">
        <v>96.25</v>
      </c>
      <c r="E45" s="82">
        <v>89.7777777777778</v>
      </c>
      <c r="F45" s="85">
        <v>0.932756132756133</v>
      </c>
      <c r="G45" s="65">
        <v>9</v>
      </c>
      <c r="H45" s="8" t="s">
        <v>64</v>
      </c>
      <c r="I45" s="65">
        <v>7</v>
      </c>
      <c r="J45" s="65">
        <v>7</v>
      </c>
      <c r="K45" s="65">
        <f t="shared" si="6"/>
        <v>853.333333333333</v>
      </c>
      <c r="L45" s="68">
        <f t="shared" si="7"/>
        <v>1193.92388802905</v>
      </c>
      <c r="M45" s="68">
        <f t="shared" si="8"/>
        <v>2047.25722136239</v>
      </c>
    </row>
    <row r="46" ht="20.1" customHeight="1" spans="1:13">
      <c r="A46" s="57"/>
      <c r="B46" s="57"/>
      <c r="C46" s="57"/>
      <c r="D46" s="71"/>
      <c r="E46" s="71"/>
      <c r="F46" s="72"/>
      <c r="G46" s="73"/>
      <c r="H46" s="57"/>
      <c r="I46" s="59"/>
      <c r="J46" s="65" t="s">
        <v>20</v>
      </c>
      <c r="K46" s="74">
        <f>SUM(K37:K45)</f>
        <v>7680</v>
      </c>
      <c r="L46" s="74">
        <f>SUM(L37:L45)</f>
        <v>11520</v>
      </c>
      <c r="M46" s="65">
        <f t="shared" si="8"/>
        <v>19200</v>
      </c>
    </row>
    <row r="47" ht="20.1" customHeight="1" spans="1:13">
      <c r="A47" s="57"/>
      <c r="B47" s="57" t="s">
        <v>2</v>
      </c>
      <c r="C47" s="57" t="s">
        <v>3</v>
      </c>
      <c r="D47" s="57" t="s">
        <v>4</v>
      </c>
      <c r="E47" s="71"/>
      <c r="F47" s="72"/>
      <c r="G47" s="73"/>
      <c r="H47" s="57"/>
      <c r="I47" s="59"/>
      <c r="J47" s="59"/>
      <c r="K47" s="57"/>
      <c r="L47" s="57"/>
      <c r="M47" s="57"/>
    </row>
    <row r="48" ht="20.1" customHeight="1" spans="1:13">
      <c r="A48" s="78" t="s">
        <v>65</v>
      </c>
      <c r="B48" s="61" t="s">
        <v>10</v>
      </c>
      <c r="C48" s="61">
        <f>C6</f>
        <v>15000</v>
      </c>
      <c r="D48" s="79">
        <v>12000</v>
      </c>
      <c r="E48" s="71"/>
      <c r="F48" s="77"/>
      <c r="G48" s="57"/>
      <c r="H48" s="57"/>
      <c r="I48" s="63" t="s">
        <v>22</v>
      </c>
      <c r="J48" s="64"/>
      <c r="K48" s="65"/>
      <c r="L48" s="65"/>
      <c r="M48" s="65"/>
    </row>
    <row r="49" ht="20.1" customHeight="1" spans="1:13">
      <c r="A49" s="65" t="s">
        <v>23</v>
      </c>
      <c r="B49" s="65" t="s">
        <v>1</v>
      </c>
      <c r="C49" s="65" t="s">
        <v>24</v>
      </c>
      <c r="D49" s="65" t="s">
        <v>25</v>
      </c>
      <c r="E49" s="65" t="s">
        <v>26</v>
      </c>
      <c r="F49" s="65" t="s">
        <v>27</v>
      </c>
      <c r="G49" s="65" t="s">
        <v>28</v>
      </c>
      <c r="H49" s="65" t="s">
        <v>29</v>
      </c>
      <c r="I49" s="66" t="s">
        <v>30</v>
      </c>
      <c r="J49" s="66" t="s">
        <v>31</v>
      </c>
      <c r="K49" s="65" t="s">
        <v>32</v>
      </c>
      <c r="L49" s="65" t="s">
        <v>33</v>
      </c>
      <c r="M49" s="65" t="s">
        <v>20</v>
      </c>
    </row>
    <row r="50" ht="20.1" customHeight="1" spans="1:13">
      <c r="A50" s="80" t="s">
        <v>34</v>
      </c>
      <c r="B50" s="81" t="s">
        <v>66</v>
      </c>
      <c r="C50" s="81">
        <v>43</v>
      </c>
      <c r="D50" s="82">
        <v>75.41</v>
      </c>
      <c r="E50" s="82">
        <v>95.0697674418605</v>
      </c>
      <c r="F50" s="86">
        <v>1.26070504497892</v>
      </c>
      <c r="G50" s="87">
        <v>1</v>
      </c>
      <c r="H50" s="8" t="s">
        <v>67</v>
      </c>
      <c r="I50" s="65">
        <v>8</v>
      </c>
      <c r="J50" s="65">
        <v>8</v>
      </c>
      <c r="K50" s="65">
        <f>$D$48*0.4*SUM(I50:J50)/SUM($I$50:$J$58)</f>
        <v>533.333333333333</v>
      </c>
      <c r="L50" s="68">
        <f>$D$48*0.6*0.7*E50/SUM($E$50:$E$58)+$D$48*0.6*0.3*F50/SUM($F$50:$F$58)</f>
        <v>1008.57785468485</v>
      </c>
      <c r="M50" s="68">
        <f>SUM(K50:L50)</f>
        <v>1541.91118801818</v>
      </c>
    </row>
    <row r="51" ht="20.1" customHeight="1" spans="1:13">
      <c r="A51" s="80" t="s">
        <v>44</v>
      </c>
      <c r="B51" s="81" t="s">
        <v>66</v>
      </c>
      <c r="C51" s="81">
        <v>29</v>
      </c>
      <c r="D51" s="82">
        <v>75.41</v>
      </c>
      <c r="E51" s="82">
        <v>84.3793103448276</v>
      </c>
      <c r="F51" s="86">
        <v>1.1189405960062</v>
      </c>
      <c r="G51" s="87">
        <v>2</v>
      </c>
      <c r="H51" s="8" t="s">
        <v>68</v>
      </c>
      <c r="I51" s="65">
        <v>8</v>
      </c>
      <c r="J51" s="65">
        <v>8</v>
      </c>
      <c r="K51" s="65">
        <f t="shared" ref="K51:K58" si="9">$D$48*0.4*SUM(I51:J51)/SUM($I$50:$J$58)</f>
        <v>533.333333333333</v>
      </c>
      <c r="L51" s="68">
        <f t="shared" ref="L51:L58" si="10">$D$48*0.6*0.7*E51/SUM($E$50:$E$58)+$D$48*0.6*0.3*F51/SUM($F$50:$F$58)</f>
        <v>895.164741613761</v>
      </c>
      <c r="M51" s="68">
        <f t="shared" ref="M51:M59" si="11">SUM(K51:L51)</f>
        <v>1428.49807494709</v>
      </c>
    </row>
    <row r="52" ht="20.1" customHeight="1" spans="1:13">
      <c r="A52" s="80" t="s">
        <v>39</v>
      </c>
      <c r="B52" s="81" t="s">
        <v>66</v>
      </c>
      <c r="C52" s="65">
        <v>47</v>
      </c>
      <c r="D52" s="82">
        <v>75.41</v>
      </c>
      <c r="E52" s="88">
        <v>84.0217391304348</v>
      </c>
      <c r="F52" s="86">
        <v>1.11419890107989</v>
      </c>
      <c r="G52" s="87">
        <v>3</v>
      </c>
      <c r="H52" s="65" t="s">
        <v>69</v>
      </c>
      <c r="I52" s="65">
        <v>8</v>
      </c>
      <c r="J52" s="65">
        <v>8</v>
      </c>
      <c r="K52" s="65">
        <f t="shared" si="9"/>
        <v>533.333333333333</v>
      </c>
      <c r="L52" s="68">
        <f t="shared" si="10"/>
        <v>891.37133369857</v>
      </c>
      <c r="M52" s="68">
        <f t="shared" si="11"/>
        <v>1424.7046670319</v>
      </c>
    </row>
    <row r="53" ht="20.1" customHeight="1" spans="1:13">
      <c r="A53" s="80" t="s">
        <v>37</v>
      </c>
      <c r="B53" s="81" t="s">
        <v>66</v>
      </c>
      <c r="C53" s="81">
        <v>46</v>
      </c>
      <c r="D53" s="82">
        <v>75.41</v>
      </c>
      <c r="E53" s="82">
        <v>79.5652173913043</v>
      </c>
      <c r="F53" s="86">
        <v>1.05510167605496</v>
      </c>
      <c r="G53" s="87">
        <v>4</v>
      </c>
      <c r="H53" s="8" t="s">
        <v>70</v>
      </c>
      <c r="I53" s="65">
        <v>8</v>
      </c>
      <c r="J53" s="65">
        <v>8</v>
      </c>
      <c r="K53" s="65">
        <f t="shared" si="9"/>
        <v>533.333333333333</v>
      </c>
      <c r="L53" s="68">
        <f t="shared" si="10"/>
        <v>844.092905908607</v>
      </c>
      <c r="M53" s="68">
        <f t="shared" si="11"/>
        <v>1377.42623924194</v>
      </c>
    </row>
    <row r="54" ht="20.1" customHeight="1" spans="1:13">
      <c r="A54" s="80" t="s">
        <v>41</v>
      </c>
      <c r="B54" s="81" t="s">
        <v>66</v>
      </c>
      <c r="C54" s="81">
        <v>49</v>
      </c>
      <c r="D54" s="82">
        <v>75.41</v>
      </c>
      <c r="E54" s="82">
        <v>75.0816326530612</v>
      </c>
      <c r="F54" s="86">
        <v>0.995645572908914</v>
      </c>
      <c r="G54" s="87">
        <v>5</v>
      </c>
      <c r="H54" s="8" t="s">
        <v>69</v>
      </c>
      <c r="I54" s="65">
        <v>8</v>
      </c>
      <c r="J54" s="65">
        <v>8</v>
      </c>
      <c r="K54" s="65">
        <f t="shared" si="9"/>
        <v>533.333333333333</v>
      </c>
      <c r="L54" s="68">
        <f t="shared" si="10"/>
        <v>796.527371688063</v>
      </c>
      <c r="M54" s="68">
        <f t="shared" si="11"/>
        <v>1329.8607050214</v>
      </c>
    </row>
    <row r="55" ht="20.1" customHeight="1" spans="1:13">
      <c r="A55" s="80" t="s">
        <v>42</v>
      </c>
      <c r="B55" s="81" t="s">
        <v>66</v>
      </c>
      <c r="C55" s="81">
        <v>48</v>
      </c>
      <c r="D55" s="82">
        <v>75.41</v>
      </c>
      <c r="E55" s="82">
        <v>71.5833333333333</v>
      </c>
      <c r="F55" s="86">
        <v>0.949255182778588</v>
      </c>
      <c r="G55" s="87">
        <v>6</v>
      </c>
      <c r="H55" s="8" t="s">
        <v>71</v>
      </c>
      <c r="I55" s="65">
        <v>8</v>
      </c>
      <c r="J55" s="65">
        <v>8</v>
      </c>
      <c r="K55" s="65">
        <f t="shared" si="9"/>
        <v>533.333333333333</v>
      </c>
      <c r="L55" s="68">
        <f t="shared" si="10"/>
        <v>759.414551094551</v>
      </c>
      <c r="M55" s="68">
        <f t="shared" si="11"/>
        <v>1292.74788442788</v>
      </c>
    </row>
    <row r="56" ht="20.1" customHeight="1" spans="1:13">
      <c r="A56" s="80" t="s">
        <v>45</v>
      </c>
      <c r="B56" s="81" t="s">
        <v>66</v>
      </c>
      <c r="C56" s="81">
        <v>39</v>
      </c>
      <c r="D56" s="82">
        <v>75.41</v>
      </c>
      <c r="E56" s="82">
        <v>70.4102564102564</v>
      </c>
      <c r="F56" s="86">
        <v>0.93369919652906</v>
      </c>
      <c r="G56" s="87">
        <v>7</v>
      </c>
      <c r="H56" s="8" t="s">
        <v>72</v>
      </c>
      <c r="I56" s="65">
        <v>8</v>
      </c>
      <c r="J56" s="65">
        <v>8</v>
      </c>
      <c r="K56" s="65">
        <f t="shared" si="9"/>
        <v>533.333333333333</v>
      </c>
      <c r="L56" s="68">
        <f t="shared" si="10"/>
        <v>746.96959158436</v>
      </c>
      <c r="M56" s="68">
        <f t="shared" si="11"/>
        <v>1280.30292491769</v>
      </c>
    </row>
    <row r="57" ht="20.1" customHeight="1" spans="1:13">
      <c r="A57" s="89" t="s">
        <v>61</v>
      </c>
      <c r="B57" s="81" t="s">
        <v>66</v>
      </c>
      <c r="C57" s="81">
        <v>41</v>
      </c>
      <c r="D57" s="90">
        <v>75.41</v>
      </c>
      <c r="E57" s="82">
        <v>67.625</v>
      </c>
      <c r="F57" s="86">
        <v>0.896764354860098</v>
      </c>
      <c r="G57" s="87">
        <v>8</v>
      </c>
      <c r="H57" s="8" t="s">
        <v>67</v>
      </c>
      <c r="I57" s="65">
        <v>8</v>
      </c>
      <c r="J57" s="65">
        <v>8</v>
      </c>
      <c r="K57" s="65">
        <f t="shared" si="9"/>
        <v>533.333333333333</v>
      </c>
      <c r="L57" s="68">
        <f t="shared" si="10"/>
        <v>717.42131340306</v>
      </c>
      <c r="M57" s="68">
        <f t="shared" si="11"/>
        <v>1250.75464673639</v>
      </c>
    </row>
    <row r="58" ht="20.1" customHeight="1" spans="1:13">
      <c r="A58" s="80" t="s">
        <v>46</v>
      </c>
      <c r="B58" s="81" t="s">
        <v>66</v>
      </c>
      <c r="C58" s="81">
        <v>36</v>
      </c>
      <c r="D58" s="82">
        <v>75.41</v>
      </c>
      <c r="E58" s="82">
        <v>50.9444444444444</v>
      </c>
      <c r="F58" s="86">
        <v>0.675566164228145</v>
      </c>
      <c r="G58" s="87">
        <v>9</v>
      </c>
      <c r="H58" s="8" t="s">
        <v>73</v>
      </c>
      <c r="I58" s="65">
        <v>8</v>
      </c>
      <c r="J58" s="65">
        <v>8</v>
      </c>
      <c r="K58" s="65">
        <f t="shared" si="9"/>
        <v>533.333333333333</v>
      </c>
      <c r="L58" s="68">
        <f t="shared" si="10"/>
        <v>540.460336324178</v>
      </c>
      <c r="M58" s="68">
        <f t="shared" si="11"/>
        <v>1073.79366965751</v>
      </c>
    </row>
    <row r="59" ht="20.1" customHeight="1" spans="1:13">
      <c r="A59" s="91"/>
      <c r="B59" s="91"/>
      <c r="C59" s="91"/>
      <c r="D59" s="92"/>
      <c r="E59" s="93"/>
      <c r="F59" s="94"/>
      <c r="G59" s="91"/>
      <c r="H59" s="91"/>
      <c r="I59" s="95"/>
      <c r="J59" s="65" t="s">
        <v>20</v>
      </c>
      <c r="K59" s="75">
        <f>SUM(K50:K58)</f>
        <v>4800</v>
      </c>
      <c r="L59" s="75">
        <f>SUM(L50:L58)</f>
        <v>7200</v>
      </c>
      <c r="M59" s="75">
        <f t="shared" si="11"/>
        <v>12000</v>
      </c>
    </row>
    <row r="60" ht="20.1" customHeight="1" spans="1:13">
      <c r="A60" s="57"/>
      <c r="B60" s="57" t="s">
        <v>2</v>
      </c>
      <c r="C60" s="57" t="s">
        <v>3</v>
      </c>
      <c r="D60" s="57" t="s">
        <v>4</v>
      </c>
      <c r="E60" s="96"/>
      <c r="F60" s="72"/>
      <c r="G60" s="73"/>
      <c r="H60" s="57"/>
      <c r="I60" s="59"/>
      <c r="J60" s="59"/>
      <c r="K60" s="57"/>
      <c r="L60" s="57"/>
      <c r="M60" s="57"/>
    </row>
    <row r="61" ht="20.1" customHeight="1" spans="1:13">
      <c r="A61" s="78" t="s">
        <v>74</v>
      </c>
      <c r="B61" s="65" t="s">
        <v>10</v>
      </c>
      <c r="C61" s="65">
        <f>C7</f>
        <v>9600</v>
      </c>
      <c r="D61" s="79">
        <f>D7</f>
        <v>7680</v>
      </c>
      <c r="E61" s="71"/>
      <c r="F61" s="72"/>
      <c r="G61" s="73"/>
      <c r="H61" s="57"/>
      <c r="I61" s="63" t="s">
        <v>22</v>
      </c>
      <c r="J61" s="64"/>
      <c r="K61" s="65"/>
      <c r="L61" s="65"/>
      <c r="M61" s="65"/>
    </row>
    <row r="62" ht="20.1" customHeight="1" spans="1:13">
      <c r="A62" s="65" t="s">
        <v>23</v>
      </c>
      <c r="B62" s="65" t="s">
        <v>1</v>
      </c>
      <c r="C62" s="65" t="s">
        <v>24</v>
      </c>
      <c r="D62" s="65" t="s">
        <v>25</v>
      </c>
      <c r="E62" s="65" t="s">
        <v>26</v>
      </c>
      <c r="F62" s="65" t="s">
        <v>27</v>
      </c>
      <c r="G62" s="65" t="s">
        <v>28</v>
      </c>
      <c r="H62" s="65" t="s">
        <v>29</v>
      </c>
      <c r="I62" s="66" t="s">
        <v>30</v>
      </c>
      <c r="J62" s="66" t="s">
        <v>31</v>
      </c>
      <c r="K62" s="65" t="s">
        <v>32</v>
      </c>
      <c r="L62" s="65" t="s">
        <v>33</v>
      </c>
      <c r="M62" s="65" t="s">
        <v>20</v>
      </c>
    </row>
    <row r="63" ht="20.1" customHeight="1" spans="1:13">
      <c r="A63" s="49" t="s">
        <v>34</v>
      </c>
      <c r="B63" s="50" t="s">
        <v>75</v>
      </c>
      <c r="C63" s="50">
        <v>43</v>
      </c>
      <c r="D63" s="51">
        <v>41.6</v>
      </c>
      <c r="E63" s="52">
        <v>55.5116279069767</v>
      </c>
      <c r="F63" s="67">
        <v>1.33441413237925</v>
      </c>
      <c r="G63" s="54">
        <v>1</v>
      </c>
      <c r="H63" s="9" t="s">
        <v>76</v>
      </c>
      <c r="I63" s="65">
        <v>6</v>
      </c>
      <c r="J63" s="65">
        <v>6</v>
      </c>
      <c r="K63" s="65">
        <f>$D$61*0.4*SUM(I63:J63)/SUM($I$63:$J$71)</f>
        <v>341.333333333333</v>
      </c>
      <c r="L63" s="68">
        <f>$D$61*0.6*0.7*E63/SUM($E$63:$E$71)+$D$61*0.6*0.3*F63/SUM($F$63:$F$71)</f>
        <v>683.142072996635</v>
      </c>
      <c r="M63" s="68">
        <f>SUM(K63:L63)</f>
        <v>1024.47540632997</v>
      </c>
    </row>
    <row r="64" ht="20.1" customHeight="1" spans="1:13">
      <c r="A64" s="49" t="s">
        <v>39</v>
      </c>
      <c r="B64" s="50" t="s">
        <v>75</v>
      </c>
      <c r="C64" s="50">
        <v>47</v>
      </c>
      <c r="D64" s="51">
        <v>41.6</v>
      </c>
      <c r="E64" s="52">
        <v>47.4565217391304</v>
      </c>
      <c r="F64" s="67">
        <v>1.14078177257525</v>
      </c>
      <c r="G64" s="54">
        <v>2</v>
      </c>
      <c r="H64" s="9" t="s">
        <v>77</v>
      </c>
      <c r="I64" s="65">
        <v>6</v>
      </c>
      <c r="J64" s="65">
        <v>6</v>
      </c>
      <c r="K64" s="65">
        <f t="shared" ref="K63:K71" si="12">$D$61*0.4*SUM(I64:J64)/SUM($I$63:$J$71)</f>
        <v>341.333333333333</v>
      </c>
      <c r="L64" s="68">
        <f t="shared" ref="L64:L71" si="13">$D$61*0.6*0.7*E64/SUM($E$63:$E$71)+$D$61*0.6*0.3*F64/SUM($F$63:$F$71)</f>
        <v>584.01361769477</v>
      </c>
      <c r="M64" s="68">
        <f t="shared" ref="M64:M72" si="14">SUM(K64:L64)</f>
        <v>925.346951028103</v>
      </c>
    </row>
    <row r="65" ht="20.1" customHeight="1" spans="1:13">
      <c r="A65" s="49" t="s">
        <v>37</v>
      </c>
      <c r="B65" s="50" t="s">
        <v>75</v>
      </c>
      <c r="C65" s="50">
        <v>46</v>
      </c>
      <c r="D65" s="51">
        <v>41.6</v>
      </c>
      <c r="E65" s="52">
        <v>43.7608695652174</v>
      </c>
      <c r="F65" s="67">
        <v>1.05194397993311</v>
      </c>
      <c r="G65" s="54">
        <v>3</v>
      </c>
      <c r="H65" s="9" t="s">
        <v>78</v>
      </c>
      <c r="I65" s="65">
        <v>6</v>
      </c>
      <c r="J65" s="65">
        <v>6</v>
      </c>
      <c r="K65" s="65">
        <f t="shared" si="12"/>
        <v>341.333333333333</v>
      </c>
      <c r="L65" s="68">
        <f t="shared" si="13"/>
        <v>538.533858185787</v>
      </c>
      <c r="M65" s="68">
        <f t="shared" si="14"/>
        <v>879.86719151912</v>
      </c>
    </row>
    <row r="66" ht="20.1" customHeight="1" spans="1:13">
      <c r="A66" s="49" t="s">
        <v>44</v>
      </c>
      <c r="B66" s="50" t="s">
        <v>75</v>
      </c>
      <c r="C66" s="50">
        <v>29</v>
      </c>
      <c r="D66" s="51">
        <v>41.6</v>
      </c>
      <c r="E66" s="52">
        <v>43.2758620689655</v>
      </c>
      <c r="F66" s="67">
        <v>1.04028514588859</v>
      </c>
      <c r="G66" s="54">
        <v>4</v>
      </c>
      <c r="H66" s="9" t="s">
        <v>78</v>
      </c>
      <c r="I66" s="65">
        <v>6</v>
      </c>
      <c r="J66" s="65">
        <v>6</v>
      </c>
      <c r="K66" s="65">
        <f t="shared" si="12"/>
        <v>341.333333333333</v>
      </c>
      <c r="L66" s="68">
        <f t="shared" si="13"/>
        <v>532.565216319191</v>
      </c>
      <c r="M66" s="68">
        <f t="shared" si="14"/>
        <v>873.898549652525</v>
      </c>
    </row>
    <row r="67" ht="20.1" customHeight="1" spans="1:13">
      <c r="A67" s="49" t="s">
        <v>42</v>
      </c>
      <c r="B67" s="50" t="s">
        <v>75</v>
      </c>
      <c r="C67" s="50">
        <v>48</v>
      </c>
      <c r="D67" s="51">
        <v>41.6</v>
      </c>
      <c r="E67" s="52">
        <v>41.375</v>
      </c>
      <c r="F67" s="67">
        <v>0.994591346153846</v>
      </c>
      <c r="G67" s="54">
        <v>5</v>
      </c>
      <c r="H67" s="9" t="s">
        <v>79</v>
      </c>
      <c r="I67" s="65">
        <v>6</v>
      </c>
      <c r="J67" s="65">
        <v>6</v>
      </c>
      <c r="K67" s="65">
        <f t="shared" si="12"/>
        <v>341.333333333333</v>
      </c>
      <c r="L67" s="68">
        <f t="shared" si="13"/>
        <v>509.172660502781</v>
      </c>
      <c r="M67" s="68">
        <f t="shared" si="14"/>
        <v>850.505993836115</v>
      </c>
    </row>
    <row r="68" ht="20.1" customHeight="1" spans="1:13">
      <c r="A68" s="49" t="s">
        <v>41</v>
      </c>
      <c r="B68" s="50" t="s">
        <v>75</v>
      </c>
      <c r="C68" s="50">
        <v>49</v>
      </c>
      <c r="D68" s="51">
        <v>41.6</v>
      </c>
      <c r="E68" s="52">
        <v>40.2448979591837</v>
      </c>
      <c r="F68" s="67">
        <v>0.967425431711146</v>
      </c>
      <c r="G68" s="54">
        <v>6</v>
      </c>
      <c r="H68" s="9" t="s">
        <v>77</v>
      </c>
      <c r="I68" s="65">
        <v>6</v>
      </c>
      <c r="J68" s="65">
        <v>6</v>
      </c>
      <c r="K68" s="65">
        <f t="shared" si="12"/>
        <v>341.333333333333</v>
      </c>
      <c r="L68" s="68">
        <f t="shared" si="13"/>
        <v>495.265299469257</v>
      </c>
      <c r="M68" s="68">
        <f t="shared" si="14"/>
        <v>836.598632802591</v>
      </c>
    </row>
    <row r="69" ht="20.1" customHeight="1" spans="1:13">
      <c r="A69" s="49" t="s">
        <v>61</v>
      </c>
      <c r="B69" s="50" t="s">
        <v>75</v>
      </c>
      <c r="C69" s="97">
        <v>41</v>
      </c>
      <c r="D69" s="51">
        <v>41.6</v>
      </c>
      <c r="E69" s="52">
        <v>35.1</v>
      </c>
      <c r="F69" s="67">
        <v>0.84375</v>
      </c>
      <c r="G69" s="54">
        <v>7</v>
      </c>
      <c r="H69" s="70" t="s">
        <v>76</v>
      </c>
      <c r="I69" s="65">
        <v>6</v>
      </c>
      <c r="J69" s="65">
        <v>6</v>
      </c>
      <c r="K69" s="65">
        <f t="shared" si="12"/>
        <v>341.333333333333</v>
      </c>
      <c r="L69" s="68">
        <f t="shared" si="13"/>
        <v>431.950704136499</v>
      </c>
      <c r="M69" s="68">
        <f t="shared" si="14"/>
        <v>773.284037469832</v>
      </c>
    </row>
    <row r="70" ht="20.1" customHeight="1" spans="1:13">
      <c r="A70" s="49" t="s">
        <v>46</v>
      </c>
      <c r="B70" s="50" t="s">
        <v>75</v>
      </c>
      <c r="C70" s="97">
        <v>36</v>
      </c>
      <c r="D70" s="51">
        <v>41.6</v>
      </c>
      <c r="E70" s="52">
        <v>34</v>
      </c>
      <c r="F70" s="67">
        <v>0.817307692307692</v>
      </c>
      <c r="G70" s="54">
        <v>8</v>
      </c>
      <c r="H70" s="9" t="s">
        <v>78</v>
      </c>
      <c r="I70" s="65">
        <v>6</v>
      </c>
      <c r="J70" s="65">
        <v>6</v>
      </c>
      <c r="K70" s="65">
        <f t="shared" si="12"/>
        <v>341.333333333333</v>
      </c>
      <c r="L70" s="68">
        <f t="shared" si="13"/>
        <v>418.413787482648</v>
      </c>
      <c r="M70" s="68">
        <f t="shared" si="14"/>
        <v>759.747120815981</v>
      </c>
    </row>
    <row r="71" ht="20.1" customHeight="1" spans="1:13">
      <c r="A71" s="49" t="s">
        <v>45</v>
      </c>
      <c r="B71" s="50" t="s">
        <v>75</v>
      </c>
      <c r="C71" s="50">
        <v>39</v>
      </c>
      <c r="D71" s="51">
        <v>41.6</v>
      </c>
      <c r="E71" s="52">
        <v>33.7179487179487</v>
      </c>
      <c r="F71" s="67">
        <v>0.810527613412229</v>
      </c>
      <c r="G71" s="54">
        <v>9</v>
      </c>
      <c r="H71" s="9" t="s">
        <v>79</v>
      </c>
      <c r="I71" s="65">
        <v>6</v>
      </c>
      <c r="J71" s="65">
        <v>6</v>
      </c>
      <c r="K71" s="65">
        <f t="shared" si="12"/>
        <v>341.333333333333</v>
      </c>
      <c r="L71" s="68">
        <f t="shared" si="13"/>
        <v>414.94278321243</v>
      </c>
      <c r="M71" s="68">
        <f t="shared" si="14"/>
        <v>756.276116545763</v>
      </c>
    </row>
    <row r="72" ht="20.1" customHeight="1" spans="1:13">
      <c r="A72" s="57"/>
      <c r="B72" s="57"/>
      <c r="C72" s="57"/>
      <c r="D72" s="98"/>
      <c r="E72" s="98"/>
      <c r="F72" s="72"/>
      <c r="G72" s="73"/>
      <c r="H72" s="57"/>
      <c r="I72" s="57"/>
      <c r="J72" s="65" t="s">
        <v>20</v>
      </c>
      <c r="K72" s="75">
        <f>SUM(K63:K71)</f>
        <v>3072</v>
      </c>
      <c r="L72" s="74">
        <f>SUM(L63:L71)</f>
        <v>4608</v>
      </c>
      <c r="M72" s="75">
        <f t="shared" si="14"/>
        <v>7680</v>
      </c>
    </row>
    <row r="73" ht="20.1" customHeight="1" spans="1:13">
      <c r="A73" s="57"/>
      <c r="B73" s="57" t="s">
        <v>2</v>
      </c>
      <c r="C73" s="57" t="s">
        <v>3</v>
      </c>
      <c r="D73" s="58" t="s">
        <v>4</v>
      </c>
      <c r="E73" s="98"/>
      <c r="F73" s="72"/>
      <c r="G73" s="73"/>
      <c r="H73" s="57"/>
      <c r="I73" s="59"/>
      <c r="J73" s="59"/>
      <c r="K73" s="57"/>
      <c r="L73" s="57"/>
      <c r="M73" s="57"/>
    </row>
    <row r="74" ht="20.1" customHeight="1" spans="1:13">
      <c r="A74" s="78" t="s">
        <v>80</v>
      </c>
      <c r="B74" s="65" t="s">
        <v>10</v>
      </c>
      <c r="C74" s="65">
        <f>C8</f>
        <v>15000</v>
      </c>
      <c r="D74" s="79">
        <f>D8</f>
        <v>12000</v>
      </c>
      <c r="E74" s="98"/>
      <c r="F74" s="72"/>
      <c r="G74" s="73"/>
      <c r="H74" s="57"/>
      <c r="I74" s="63" t="s">
        <v>22</v>
      </c>
      <c r="J74" s="64"/>
      <c r="K74" s="65"/>
      <c r="L74" s="65"/>
      <c r="M74" s="65"/>
    </row>
    <row r="75" ht="20.1" customHeight="1" spans="1:13">
      <c r="A75" s="65" t="s">
        <v>23</v>
      </c>
      <c r="B75" s="65" t="s">
        <v>1</v>
      </c>
      <c r="C75" s="65" t="s">
        <v>24</v>
      </c>
      <c r="D75" s="65" t="s">
        <v>25</v>
      </c>
      <c r="E75" s="65" t="s">
        <v>26</v>
      </c>
      <c r="F75" s="65" t="s">
        <v>27</v>
      </c>
      <c r="G75" s="65" t="s">
        <v>28</v>
      </c>
      <c r="H75" s="65" t="s">
        <v>29</v>
      </c>
      <c r="I75" s="66" t="s">
        <v>30</v>
      </c>
      <c r="J75" s="66" t="s">
        <v>31</v>
      </c>
      <c r="K75" s="65" t="s">
        <v>32</v>
      </c>
      <c r="L75" s="65" t="s">
        <v>33</v>
      </c>
      <c r="M75" s="65" t="s">
        <v>20</v>
      </c>
    </row>
    <row r="76" ht="20.1" customHeight="1" spans="1:13">
      <c r="A76" s="80" t="s">
        <v>34</v>
      </c>
      <c r="B76" s="81" t="s">
        <v>81</v>
      </c>
      <c r="C76" s="81">
        <v>43</v>
      </c>
      <c r="D76" s="88">
        <v>79.02</v>
      </c>
      <c r="E76" s="82">
        <v>110.186046511628</v>
      </c>
      <c r="F76" s="83">
        <v>1.39440706797808</v>
      </c>
      <c r="G76" s="65">
        <v>1</v>
      </c>
      <c r="H76" s="99" t="s">
        <v>82</v>
      </c>
      <c r="I76" s="65">
        <v>7</v>
      </c>
      <c r="J76" s="65">
        <v>7</v>
      </c>
      <c r="K76" s="65">
        <f t="shared" ref="K76:K84" si="15">$D$74*0.4*SUM(I76:J76)/SUM($I$76:$J$84)</f>
        <v>533.333333333333</v>
      </c>
      <c r="L76" s="68">
        <f t="shared" ref="L76:L84" si="16">$D$74*0.6*0.7*E76/SUM($E$76:$E$84)+$D$74*0.6*0.3*F76/SUM($F$76:$F$84)</f>
        <v>1115.48420855845</v>
      </c>
      <c r="M76" s="68">
        <f t="shared" ref="M76:M85" si="17">SUM(K76:L76)</f>
        <v>1648.81754189178</v>
      </c>
    </row>
    <row r="77" ht="20.1" customHeight="1" spans="1:13">
      <c r="A77" s="80" t="s">
        <v>42</v>
      </c>
      <c r="B77" s="81" t="s">
        <v>81</v>
      </c>
      <c r="C77" s="81">
        <v>48</v>
      </c>
      <c r="D77" s="88">
        <v>79.02</v>
      </c>
      <c r="E77" s="82">
        <v>90.2916666666667</v>
      </c>
      <c r="F77" s="83">
        <v>1.14264321268877</v>
      </c>
      <c r="G77" s="65">
        <v>2</v>
      </c>
      <c r="H77" s="8" t="s">
        <v>83</v>
      </c>
      <c r="I77" s="65">
        <v>7</v>
      </c>
      <c r="J77" s="65">
        <v>7</v>
      </c>
      <c r="K77" s="65">
        <f t="shared" si="15"/>
        <v>533.333333333333</v>
      </c>
      <c r="L77" s="68">
        <f t="shared" si="16"/>
        <v>914.080607479289</v>
      </c>
      <c r="M77" s="68">
        <f t="shared" si="17"/>
        <v>1447.41394081262</v>
      </c>
    </row>
    <row r="78" ht="20.1" customHeight="1" spans="1:13">
      <c r="A78" s="80" t="s">
        <v>37</v>
      </c>
      <c r="B78" s="81" t="s">
        <v>81</v>
      </c>
      <c r="C78" s="81">
        <v>46</v>
      </c>
      <c r="D78" s="88">
        <v>79.02</v>
      </c>
      <c r="E78" s="82">
        <v>87.4673913043478</v>
      </c>
      <c r="F78" s="83">
        <v>1.10690194007021</v>
      </c>
      <c r="G78" s="65">
        <v>3</v>
      </c>
      <c r="H78" s="8" t="s">
        <v>84</v>
      </c>
      <c r="I78" s="65">
        <v>7</v>
      </c>
      <c r="J78" s="65">
        <v>7</v>
      </c>
      <c r="K78" s="65">
        <f t="shared" si="15"/>
        <v>533.333333333333</v>
      </c>
      <c r="L78" s="68">
        <f t="shared" si="16"/>
        <v>885.488651718766</v>
      </c>
      <c r="M78" s="68">
        <f t="shared" si="17"/>
        <v>1418.8219850521</v>
      </c>
    </row>
    <row r="79" ht="20.1" customHeight="1" spans="1:13">
      <c r="A79" s="80" t="s">
        <v>39</v>
      </c>
      <c r="B79" s="81" t="s">
        <v>81</v>
      </c>
      <c r="C79" s="81">
        <v>47</v>
      </c>
      <c r="D79" s="88">
        <v>79.02</v>
      </c>
      <c r="E79" s="82">
        <v>81.9130434782609</v>
      </c>
      <c r="F79" s="83">
        <v>1.03661153477931</v>
      </c>
      <c r="G79" s="65">
        <v>4</v>
      </c>
      <c r="H79" s="8" t="s">
        <v>85</v>
      </c>
      <c r="I79" s="65">
        <v>7</v>
      </c>
      <c r="J79" s="65">
        <v>7</v>
      </c>
      <c r="K79" s="65">
        <f t="shared" si="15"/>
        <v>533.333333333333</v>
      </c>
      <c r="L79" s="68">
        <f t="shared" si="16"/>
        <v>829.258416720843</v>
      </c>
      <c r="M79" s="68">
        <f t="shared" si="17"/>
        <v>1362.59175005418</v>
      </c>
    </row>
    <row r="80" ht="20.1" customHeight="1" spans="1:13">
      <c r="A80" s="80" t="s">
        <v>61</v>
      </c>
      <c r="B80" s="81" t="s">
        <v>81</v>
      </c>
      <c r="C80" s="81">
        <v>41</v>
      </c>
      <c r="D80" s="88">
        <v>79.02</v>
      </c>
      <c r="E80" s="82">
        <v>81.5625</v>
      </c>
      <c r="F80" s="83">
        <v>1.03217539863326</v>
      </c>
      <c r="G80" s="65">
        <v>5</v>
      </c>
      <c r="H80" s="8" t="s">
        <v>82</v>
      </c>
      <c r="I80" s="65">
        <v>7</v>
      </c>
      <c r="J80" s="65">
        <v>7</v>
      </c>
      <c r="K80" s="65">
        <f t="shared" si="15"/>
        <v>533.333333333333</v>
      </c>
      <c r="L80" s="68">
        <f t="shared" si="16"/>
        <v>825.709639658841</v>
      </c>
      <c r="M80" s="68">
        <f t="shared" si="17"/>
        <v>1359.04297299217</v>
      </c>
    </row>
    <row r="81" ht="20.1" customHeight="1" spans="1:13">
      <c r="A81" s="80" t="s">
        <v>41</v>
      </c>
      <c r="B81" s="81" t="s">
        <v>81</v>
      </c>
      <c r="C81" s="81">
        <v>49</v>
      </c>
      <c r="D81" s="88">
        <v>79.02</v>
      </c>
      <c r="E81" s="82">
        <v>78.4489795918367</v>
      </c>
      <c r="F81" s="83">
        <v>0.992773723004768</v>
      </c>
      <c r="G81" s="65">
        <v>6</v>
      </c>
      <c r="H81" s="8" t="s">
        <v>86</v>
      </c>
      <c r="I81" s="65">
        <v>7</v>
      </c>
      <c r="J81" s="65">
        <v>7</v>
      </c>
      <c r="K81" s="65">
        <f t="shared" si="15"/>
        <v>533.333333333333</v>
      </c>
      <c r="L81" s="68">
        <f t="shared" si="16"/>
        <v>794.189470288174</v>
      </c>
      <c r="M81" s="68">
        <f t="shared" si="17"/>
        <v>1327.52280362151</v>
      </c>
    </row>
    <row r="82" ht="20.1" customHeight="1" spans="1:13">
      <c r="A82" s="80" t="s">
        <v>44</v>
      </c>
      <c r="B82" s="81" t="s">
        <v>81</v>
      </c>
      <c r="C82" s="81">
        <v>29</v>
      </c>
      <c r="D82" s="88">
        <v>79.02</v>
      </c>
      <c r="E82" s="82">
        <v>64.1551724137931</v>
      </c>
      <c r="F82" s="83">
        <v>0.811885249478526</v>
      </c>
      <c r="G82" s="65">
        <v>7</v>
      </c>
      <c r="H82" s="8" t="s">
        <v>84</v>
      </c>
      <c r="I82" s="65">
        <v>7</v>
      </c>
      <c r="J82" s="65">
        <v>7</v>
      </c>
      <c r="K82" s="65">
        <f t="shared" si="15"/>
        <v>533.333333333333</v>
      </c>
      <c r="L82" s="68">
        <f t="shared" si="16"/>
        <v>649.484067997473</v>
      </c>
      <c r="M82" s="68">
        <f t="shared" si="17"/>
        <v>1182.81740133081</v>
      </c>
    </row>
    <row r="83" ht="20.1" customHeight="1" spans="1:13">
      <c r="A83" s="80" t="s">
        <v>46</v>
      </c>
      <c r="B83" s="81" t="s">
        <v>81</v>
      </c>
      <c r="C83" s="81">
        <v>36</v>
      </c>
      <c r="D83" s="88">
        <v>79.02</v>
      </c>
      <c r="E83" s="82">
        <v>59.8611111111111</v>
      </c>
      <c r="F83" s="83">
        <v>0.757543800444332</v>
      </c>
      <c r="G83" s="65">
        <v>8</v>
      </c>
      <c r="H83" s="8" t="s">
        <v>87</v>
      </c>
      <c r="I83" s="65">
        <v>7</v>
      </c>
      <c r="J83" s="65">
        <v>7</v>
      </c>
      <c r="K83" s="65">
        <f t="shared" si="15"/>
        <v>533.333333333333</v>
      </c>
      <c r="L83" s="68">
        <f t="shared" si="16"/>
        <v>606.012523955658</v>
      </c>
      <c r="M83" s="68">
        <f t="shared" si="17"/>
        <v>1139.34585728899</v>
      </c>
    </row>
    <row r="84" ht="20.1" customHeight="1" spans="1:13">
      <c r="A84" s="80" t="s">
        <v>45</v>
      </c>
      <c r="B84" s="81" t="s">
        <v>81</v>
      </c>
      <c r="C84" s="81">
        <v>39</v>
      </c>
      <c r="D84" s="88">
        <v>79.02</v>
      </c>
      <c r="E84" s="88">
        <v>57.3205128205128</v>
      </c>
      <c r="F84" s="83">
        <v>0.725392467989279</v>
      </c>
      <c r="G84" s="65">
        <v>9</v>
      </c>
      <c r="H84" s="8" t="s">
        <v>88</v>
      </c>
      <c r="I84" s="65">
        <v>7</v>
      </c>
      <c r="J84" s="65">
        <v>7</v>
      </c>
      <c r="K84" s="65">
        <f t="shared" si="15"/>
        <v>533.333333333333</v>
      </c>
      <c r="L84" s="68">
        <f t="shared" si="16"/>
        <v>580.292413622505</v>
      </c>
      <c r="M84" s="68">
        <f t="shared" si="17"/>
        <v>1113.62574695584</v>
      </c>
    </row>
    <row r="85" ht="20.1" customHeight="1" spans="1:13">
      <c r="A85" s="57"/>
      <c r="B85" s="57"/>
      <c r="C85" s="57"/>
      <c r="D85" s="71"/>
      <c r="E85" s="98"/>
      <c r="F85" s="77"/>
      <c r="G85" s="73"/>
      <c r="H85" s="57"/>
      <c r="I85" s="59"/>
      <c r="J85" s="65" t="s">
        <v>20</v>
      </c>
      <c r="K85" s="75">
        <f>SUM(K76:K84)</f>
        <v>4800</v>
      </c>
      <c r="L85" s="75">
        <f>SUM(L76:L84)</f>
        <v>7200</v>
      </c>
      <c r="M85" s="75">
        <f t="shared" si="17"/>
        <v>12000</v>
      </c>
    </row>
    <row r="86" ht="20.1" customHeight="1" spans="1:13">
      <c r="A86" s="57"/>
      <c r="B86" s="57" t="s">
        <v>2</v>
      </c>
      <c r="C86" s="57" t="s">
        <v>3</v>
      </c>
      <c r="D86" s="58" t="s">
        <v>4</v>
      </c>
      <c r="E86" s="98"/>
      <c r="F86" s="77"/>
      <c r="G86" s="73"/>
      <c r="H86" s="57"/>
      <c r="I86" s="59"/>
      <c r="J86" s="59"/>
      <c r="K86" s="57"/>
      <c r="L86" s="57"/>
      <c r="M86" s="57"/>
    </row>
    <row r="87" ht="20.1" customHeight="1" spans="1:13">
      <c r="A87" s="78" t="s">
        <v>89</v>
      </c>
      <c r="B87" s="65" t="s">
        <v>10</v>
      </c>
      <c r="C87" s="65">
        <f>C9</f>
        <v>7200</v>
      </c>
      <c r="D87" s="79">
        <f>D9</f>
        <v>5760</v>
      </c>
      <c r="E87" s="57" t="s">
        <v>55</v>
      </c>
      <c r="F87" s="57"/>
      <c r="G87" s="59"/>
      <c r="H87" s="59"/>
      <c r="I87" s="63" t="s">
        <v>22</v>
      </c>
      <c r="J87" s="64"/>
      <c r="K87" s="65"/>
      <c r="L87" s="65"/>
      <c r="M87" s="65"/>
    </row>
    <row r="88" ht="20.1" customHeight="1" spans="1:13">
      <c r="A88" s="65" t="s">
        <v>23</v>
      </c>
      <c r="B88" s="65" t="s">
        <v>1</v>
      </c>
      <c r="C88" s="65" t="s">
        <v>24</v>
      </c>
      <c r="D88" s="65" t="s">
        <v>25</v>
      </c>
      <c r="E88" s="65" t="s">
        <v>26</v>
      </c>
      <c r="F88" s="65" t="s">
        <v>27</v>
      </c>
      <c r="G88" s="65" t="s">
        <v>28</v>
      </c>
      <c r="H88" s="65" t="s">
        <v>29</v>
      </c>
      <c r="I88" s="66" t="s">
        <v>30</v>
      </c>
      <c r="J88" s="66" t="s">
        <v>31</v>
      </c>
      <c r="K88" s="65" t="s">
        <v>32</v>
      </c>
      <c r="L88" s="65" t="s">
        <v>33</v>
      </c>
      <c r="M88" s="65" t="s">
        <v>20</v>
      </c>
    </row>
    <row r="89" ht="20.1" customHeight="1" spans="1:13">
      <c r="A89" s="80" t="s">
        <v>34</v>
      </c>
      <c r="B89" s="81" t="s">
        <v>50</v>
      </c>
      <c r="C89" s="81">
        <v>43</v>
      </c>
      <c r="D89" s="82">
        <v>72.42</v>
      </c>
      <c r="E89" s="82">
        <v>82.5813953488372</v>
      </c>
      <c r="F89" s="83">
        <v>1.14031200426453</v>
      </c>
      <c r="G89" s="65">
        <v>1</v>
      </c>
      <c r="H89" s="99" t="s">
        <v>90</v>
      </c>
      <c r="I89" s="65">
        <v>5</v>
      </c>
      <c r="J89" s="65">
        <v>5</v>
      </c>
      <c r="K89" s="65">
        <f t="shared" ref="K89:K94" si="18">$D$87*0.4*SUM(I89:J89)/SUM($I$89:$J$94)</f>
        <v>384</v>
      </c>
      <c r="L89" s="68">
        <f t="shared" ref="L89:L94" si="19">$D$87*0.6*0.7*E89/SUM($E$89:$E$94)+$D$87*0.6*0.3*F89/SUM($F$89:$F$94)</f>
        <v>656.857932500261</v>
      </c>
      <c r="M89" s="68">
        <f t="shared" ref="M89:M95" si="20">SUM(K89:L89)</f>
        <v>1040.85793250026</v>
      </c>
    </row>
    <row r="90" ht="20.1" customHeight="1" spans="1:13">
      <c r="A90" s="80" t="s">
        <v>39</v>
      </c>
      <c r="B90" s="81" t="s">
        <v>50</v>
      </c>
      <c r="C90" s="81">
        <v>47</v>
      </c>
      <c r="D90" s="82">
        <v>72.42</v>
      </c>
      <c r="E90" s="82">
        <v>76.2488888888889</v>
      </c>
      <c r="F90" s="83">
        <v>1.05287060050937</v>
      </c>
      <c r="G90" s="65">
        <v>2</v>
      </c>
      <c r="H90" s="8" t="s">
        <v>91</v>
      </c>
      <c r="I90" s="65">
        <v>5</v>
      </c>
      <c r="J90" s="65">
        <v>5</v>
      </c>
      <c r="K90" s="65">
        <f t="shared" si="18"/>
        <v>384</v>
      </c>
      <c r="L90" s="68">
        <f t="shared" si="19"/>
        <v>606.488753301294</v>
      </c>
      <c r="M90" s="68">
        <f t="shared" si="20"/>
        <v>990.488753301294</v>
      </c>
    </row>
    <row r="91" ht="20.1" customHeight="1" spans="1:13">
      <c r="A91" s="80" t="s">
        <v>37</v>
      </c>
      <c r="B91" s="81" t="s">
        <v>50</v>
      </c>
      <c r="C91" s="81">
        <v>46</v>
      </c>
      <c r="D91" s="82">
        <v>72.42</v>
      </c>
      <c r="E91" s="82">
        <v>74.704347826087</v>
      </c>
      <c r="F91" s="83">
        <v>1.03154305200341</v>
      </c>
      <c r="G91" s="65">
        <v>3</v>
      </c>
      <c r="H91" s="8" t="s">
        <v>51</v>
      </c>
      <c r="I91" s="65">
        <v>5</v>
      </c>
      <c r="J91" s="65">
        <v>5</v>
      </c>
      <c r="K91" s="65">
        <f t="shared" si="18"/>
        <v>384</v>
      </c>
      <c r="L91" s="68">
        <f t="shared" si="19"/>
        <v>594.203370559962</v>
      </c>
      <c r="M91" s="68">
        <f t="shared" si="20"/>
        <v>978.203370559962</v>
      </c>
    </row>
    <row r="92" ht="20.1" customHeight="1" spans="1:13">
      <c r="A92" s="80" t="s">
        <v>44</v>
      </c>
      <c r="B92" s="81" t="s">
        <v>50</v>
      </c>
      <c r="C92" s="81">
        <v>29</v>
      </c>
      <c r="D92" s="82">
        <v>72.42</v>
      </c>
      <c r="E92" s="82">
        <v>69.9275862068965</v>
      </c>
      <c r="F92" s="83">
        <v>0.965583902332181</v>
      </c>
      <c r="G92" s="65">
        <v>4</v>
      </c>
      <c r="H92" s="8" t="s">
        <v>53</v>
      </c>
      <c r="I92" s="65">
        <v>5</v>
      </c>
      <c r="J92" s="65">
        <v>5</v>
      </c>
      <c r="K92" s="65">
        <f t="shared" si="18"/>
        <v>384</v>
      </c>
      <c r="L92" s="68">
        <f t="shared" si="19"/>
        <v>556.208689700259</v>
      </c>
      <c r="M92" s="68">
        <f t="shared" si="20"/>
        <v>940.208689700259</v>
      </c>
    </row>
    <row r="93" ht="20.1" customHeight="1" spans="1:13">
      <c r="A93" s="80" t="s">
        <v>45</v>
      </c>
      <c r="B93" s="81" t="s">
        <v>50</v>
      </c>
      <c r="C93" s="81">
        <v>39</v>
      </c>
      <c r="D93" s="82">
        <v>72.42</v>
      </c>
      <c r="E93" s="82">
        <v>65.7</v>
      </c>
      <c r="F93" s="83">
        <v>0.907207953603977</v>
      </c>
      <c r="G93" s="65">
        <v>5</v>
      </c>
      <c r="H93" s="8" t="s">
        <v>92</v>
      </c>
      <c r="I93" s="65">
        <v>5</v>
      </c>
      <c r="J93" s="65">
        <v>5</v>
      </c>
      <c r="K93" s="65">
        <f t="shared" si="18"/>
        <v>384</v>
      </c>
      <c r="L93" s="68">
        <f t="shared" si="19"/>
        <v>522.582186737957</v>
      </c>
      <c r="M93" s="68">
        <f t="shared" si="20"/>
        <v>906.582186737957</v>
      </c>
    </row>
    <row r="94" ht="20.1" customHeight="1" spans="1:13">
      <c r="A94" s="80" t="s">
        <v>61</v>
      </c>
      <c r="B94" s="81" t="s">
        <v>50</v>
      </c>
      <c r="C94" s="81">
        <v>41</v>
      </c>
      <c r="D94" s="82">
        <v>72.42</v>
      </c>
      <c r="E94" s="82">
        <v>65.3325</v>
      </c>
      <c r="F94" s="83">
        <v>0.902133388566694</v>
      </c>
      <c r="G94" s="65">
        <v>6</v>
      </c>
      <c r="H94" s="8" t="s">
        <v>53</v>
      </c>
      <c r="I94" s="65">
        <v>5</v>
      </c>
      <c r="J94" s="65">
        <v>5</v>
      </c>
      <c r="K94" s="65">
        <f t="shared" si="18"/>
        <v>384</v>
      </c>
      <c r="L94" s="68">
        <f t="shared" si="19"/>
        <v>519.659067200268</v>
      </c>
      <c r="M94" s="68">
        <f t="shared" si="20"/>
        <v>903.659067200268</v>
      </c>
    </row>
    <row r="95" ht="20.1" customHeight="1" spans="1:13">
      <c r="A95" s="57"/>
      <c r="B95" s="57"/>
      <c r="C95" s="57"/>
      <c r="D95" s="98"/>
      <c r="E95" s="71"/>
      <c r="F95" s="77"/>
      <c r="G95" s="73"/>
      <c r="H95" s="57"/>
      <c r="I95" s="59"/>
      <c r="J95" s="65" t="s">
        <v>20</v>
      </c>
      <c r="K95" s="75">
        <f>SUM(K89:K94)</f>
        <v>2304</v>
      </c>
      <c r="L95" s="75">
        <f>SUM(L89:L94)</f>
        <v>3456</v>
      </c>
      <c r="M95" s="75">
        <f t="shared" si="20"/>
        <v>5760</v>
      </c>
    </row>
    <row r="96" ht="20.1" customHeight="1" spans="1:13">
      <c r="A96" s="57"/>
      <c r="B96" s="57" t="s">
        <v>2</v>
      </c>
      <c r="C96" s="57" t="s">
        <v>3</v>
      </c>
      <c r="D96" s="58" t="s">
        <v>4</v>
      </c>
      <c r="E96" s="71"/>
      <c r="F96" s="77"/>
      <c r="G96" s="73"/>
      <c r="H96" s="57"/>
      <c r="I96" s="59"/>
      <c r="J96" s="59"/>
      <c r="K96" s="57"/>
      <c r="L96" s="57"/>
      <c r="M96" s="57"/>
    </row>
    <row r="97" ht="20.1" customHeight="1" spans="1:13">
      <c r="A97" s="78" t="s">
        <v>93</v>
      </c>
      <c r="B97" s="65" t="s">
        <v>10</v>
      </c>
      <c r="C97" s="65">
        <f>C10</f>
        <v>1800</v>
      </c>
      <c r="D97" s="79">
        <f>D10</f>
        <v>1440</v>
      </c>
      <c r="E97" s="57"/>
      <c r="F97" s="57"/>
      <c r="G97" s="59"/>
      <c r="H97" s="57"/>
      <c r="I97" s="63" t="s">
        <v>22</v>
      </c>
      <c r="J97" s="64"/>
      <c r="K97" s="65"/>
      <c r="L97" s="65"/>
      <c r="M97" s="65"/>
    </row>
    <row r="98" ht="20.1" customHeight="1" spans="1:13">
      <c r="A98" s="65" t="s">
        <v>23</v>
      </c>
      <c r="B98" s="65" t="s">
        <v>1</v>
      </c>
      <c r="C98" s="65" t="s">
        <v>24</v>
      </c>
      <c r="D98" s="65" t="s">
        <v>25</v>
      </c>
      <c r="E98" s="65" t="s">
        <v>26</v>
      </c>
      <c r="F98" s="65" t="s">
        <v>27</v>
      </c>
      <c r="G98" s="65" t="s">
        <v>28</v>
      </c>
      <c r="H98" s="65" t="s">
        <v>29</v>
      </c>
      <c r="I98" s="66" t="s">
        <v>30</v>
      </c>
      <c r="J98" s="66" t="s">
        <v>31</v>
      </c>
      <c r="K98" s="65" t="s">
        <v>32</v>
      </c>
      <c r="L98" s="65" t="s">
        <v>33</v>
      </c>
      <c r="M98" s="65" t="s">
        <v>20</v>
      </c>
    </row>
    <row r="99" ht="20.1" customHeight="1" spans="1:13">
      <c r="A99" s="80" t="s">
        <v>42</v>
      </c>
      <c r="B99" s="81" t="s">
        <v>94</v>
      </c>
      <c r="C99" s="81">
        <v>48</v>
      </c>
      <c r="D99" s="82">
        <v>70.33</v>
      </c>
      <c r="E99" s="82">
        <v>74.3770833333333</v>
      </c>
      <c r="F99" s="85">
        <v>1.05754419640741</v>
      </c>
      <c r="G99" s="65">
        <v>1</v>
      </c>
      <c r="H99" s="99" t="s">
        <v>95</v>
      </c>
      <c r="I99" s="65">
        <v>5</v>
      </c>
      <c r="J99" s="65">
        <v>5</v>
      </c>
      <c r="K99" s="65">
        <f>$D$97*0.4*SUM(I99:J99)/SUM($I$99:$J$100)</f>
        <v>288</v>
      </c>
      <c r="L99" s="68">
        <f>$D$97*0.6*0.7*E99/SUM($E$99:$E$100)+$D$97*0.6*0.3*F99/SUM($F$99:$F$100)</f>
        <v>456.880940340037</v>
      </c>
      <c r="M99" s="68">
        <f>SUM(K99:L99)</f>
        <v>744.880940340037</v>
      </c>
    </row>
    <row r="100" ht="20.1" customHeight="1" spans="1:13">
      <c r="A100" s="80" t="s">
        <v>46</v>
      </c>
      <c r="B100" s="81" t="s">
        <v>94</v>
      </c>
      <c r="C100" s="81">
        <v>36</v>
      </c>
      <c r="D100" s="82">
        <v>70.33</v>
      </c>
      <c r="E100" s="82">
        <v>66.2761904761905</v>
      </c>
      <c r="F100" s="85">
        <v>0.942360166020055</v>
      </c>
      <c r="G100" s="65">
        <v>2</v>
      </c>
      <c r="H100" s="8" t="s">
        <v>96</v>
      </c>
      <c r="I100" s="65">
        <v>5</v>
      </c>
      <c r="J100" s="65">
        <v>5</v>
      </c>
      <c r="K100" s="65">
        <f>$D$97*0.4*SUM(I100:J100)/SUM($I$99:$J$100)</f>
        <v>288</v>
      </c>
      <c r="L100" s="68">
        <f>$D$97*0.6*0.7*E100/SUM($E$99:$E$100)+$D$97*0.6*0.3*F100/SUM($F$99:$F$100)</f>
        <v>407.119059659963</v>
      </c>
      <c r="M100" s="68">
        <f>SUM(K100:L100)</f>
        <v>695.119059659963</v>
      </c>
    </row>
    <row r="101" ht="20.1" customHeight="1" spans="1:13">
      <c r="A101" s="57"/>
      <c r="B101" s="57"/>
      <c r="C101" s="57"/>
      <c r="D101" s="71"/>
      <c r="E101" s="71"/>
      <c r="F101" s="72"/>
      <c r="G101" s="73"/>
      <c r="H101" s="57"/>
      <c r="I101" s="59"/>
      <c r="J101" s="65" t="s">
        <v>20</v>
      </c>
      <c r="K101" s="75">
        <f>SUM(K99:K100)</f>
        <v>576</v>
      </c>
      <c r="L101" s="75">
        <f>SUM(L99:L100)</f>
        <v>864</v>
      </c>
      <c r="M101" s="75">
        <f>SUM(K101:L101)</f>
        <v>1440</v>
      </c>
    </row>
    <row r="102" ht="20.1" customHeight="1" spans="1:13">
      <c r="A102" s="57"/>
      <c r="B102" s="57" t="s">
        <v>2</v>
      </c>
      <c r="C102" s="57" t="s">
        <v>3</v>
      </c>
      <c r="D102" s="58" t="s">
        <v>4</v>
      </c>
      <c r="E102" s="71"/>
      <c r="F102" s="72"/>
      <c r="G102" s="73"/>
      <c r="H102" s="57"/>
      <c r="I102" s="59"/>
      <c r="J102" s="59"/>
      <c r="K102" s="57"/>
      <c r="L102" s="57"/>
      <c r="M102" s="57"/>
    </row>
    <row r="103" ht="20.1" customHeight="1" spans="1:13">
      <c r="A103" s="78" t="s">
        <v>97</v>
      </c>
      <c r="B103" s="65" t="s">
        <v>10</v>
      </c>
      <c r="C103" s="65">
        <f>C11</f>
        <v>21000</v>
      </c>
      <c r="D103" s="79">
        <f>D11</f>
        <v>16800</v>
      </c>
      <c r="E103" s="57"/>
      <c r="F103" s="57"/>
      <c r="G103" s="59"/>
      <c r="H103" s="59"/>
      <c r="I103" s="63" t="s">
        <v>22</v>
      </c>
      <c r="J103" s="64"/>
      <c r="K103" s="65"/>
      <c r="L103" s="65"/>
      <c r="M103" s="65"/>
    </row>
    <row r="104" ht="20.1" customHeight="1" spans="1:13">
      <c r="A104" s="65" t="s">
        <v>23</v>
      </c>
      <c r="B104" s="65" t="s">
        <v>1</v>
      </c>
      <c r="C104" s="65" t="s">
        <v>24</v>
      </c>
      <c r="D104" s="65" t="s">
        <v>25</v>
      </c>
      <c r="E104" s="65" t="s">
        <v>26</v>
      </c>
      <c r="F104" s="65" t="s">
        <v>27</v>
      </c>
      <c r="G104" s="65" t="s">
        <v>28</v>
      </c>
      <c r="H104" s="65" t="s">
        <v>29</v>
      </c>
      <c r="I104" s="66" t="s">
        <v>30</v>
      </c>
      <c r="J104" s="66" t="s">
        <v>31</v>
      </c>
      <c r="K104" s="65" t="s">
        <v>32</v>
      </c>
      <c r="L104" s="65" t="s">
        <v>33</v>
      </c>
      <c r="M104" s="65" t="s">
        <v>20</v>
      </c>
    </row>
    <row r="105" ht="20.1" customHeight="1" spans="1:13">
      <c r="A105" s="49" t="s">
        <v>98</v>
      </c>
      <c r="B105" s="100" t="s">
        <v>56</v>
      </c>
      <c r="C105" s="100">
        <v>43</v>
      </c>
      <c r="D105" s="101">
        <v>94.13</v>
      </c>
      <c r="E105" s="101">
        <v>100.511627906977</v>
      </c>
      <c r="F105" s="102">
        <v>1.06779589829998</v>
      </c>
      <c r="G105" s="103">
        <v>1</v>
      </c>
      <c r="H105" s="104" t="s">
        <v>64</v>
      </c>
      <c r="I105" s="65">
        <v>7</v>
      </c>
      <c r="J105" s="65">
        <v>7</v>
      </c>
      <c r="K105" s="65">
        <f>$D$103*0.4*SUM(I105:J105)/SUM($I$105:$J$111)</f>
        <v>960</v>
      </c>
      <c r="L105" s="68">
        <f>$D$103*0.6*0.7*E105/SUM($E$105:$E$111)+$D$103*0.6*0.3*F105/SUM($F$105:$F$111)</f>
        <v>1537.64563595876</v>
      </c>
      <c r="M105" s="68">
        <f>SUM(K105:L105)</f>
        <v>2497.64563595876</v>
      </c>
    </row>
    <row r="106" ht="20.1" customHeight="1" spans="1:13">
      <c r="A106" s="49" t="s">
        <v>99</v>
      </c>
      <c r="B106" s="50" t="s">
        <v>56</v>
      </c>
      <c r="C106" s="50">
        <v>42</v>
      </c>
      <c r="D106" s="51">
        <v>94.13</v>
      </c>
      <c r="E106" s="51">
        <v>96.6071428571429</v>
      </c>
      <c r="F106" s="102">
        <v>1.02631618885736</v>
      </c>
      <c r="G106" s="103">
        <v>2</v>
      </c>
      <c r="H106" s="105" t="s">
        <v>100</v>
      </c>
      <c r="I106" s="65">
        <v>7</v>
      </c>
      <c r="J106" s="65">
        <v>7</v>
      </c>
      <c r="K106" s="65">
        <f t="shared" ref="K106:K111" si="21">$D$103*0.4*SUM(I106:J106)/SUM($I$105:$J$111)</f>
        <v>960</v>
      </c>
      <c r="L106" s="68">
        <f t="shared" ref="L106:L111" si="22">$D$103*0.6*0.7*E106/SUM($E$105:$E$111)+$D$103*0.6*0.3*F106/SUM($F$105:$F$111)</f>
        <v>1477.91409521504</v>
      </c>
      <c r="M106" s="68">
        <f t="shared" ref="M106:M112" si="23">SUM(K106:L106)</f>
        <v>2437.91409521504</v>
      </c>
    </row>
    <row r="107" ht="20.1" customHeight="1" spans="1:13">
      <c r="A107" s="49" t="s">
        <v>101</v>
      </c>
      <c r="B107" s="50" t="s">
        <v>56</v>
      </c>
      <c r="C107" s="50">
        <v>45</v>
      </c>
      <c r="D107" s="101">
        <v>94.13</v>
      </c>
      <c r="E107" s="51">
        <v>95.1888888888889</v>
      </c>
      <c r="F107" s="102">
        <v>1.01124921798458</v>
      </c>
      <c r="G107" s="103">
        <v>3</v>
      </c>
      <c r="H107" s="105" t="s">
        <v>60</v>
      </c>
      <c r="I107" s="65">
        <v>7</v>
      </c>
      <c r="J107" s="65">
        <v>7</v>
      </c>
      <c r="K107" s="65">
        <f t="shared" si="21"/>
        <v>960</v>
      </c>
      <c r="L107" s="68">
        <f t="shared" si="22"/>
        <v>1456.2173814081</v>
      </c>
      <c r="M107" s="68">
        <f t="shared" si="23"/>
        <v>2416.2173814081</v>
      </c>
    </row>
    <row r="108" ht="20.1" customHeight="1" spans="1:13">
      <c r="A108" s="49" t="s">
        <v>102</v>
      </c>
      <c r="B108" s="50" t="s">
        <v>56</v>
      </c>
      <c r="C108" s="50">
        <v>32</v>
      </c>
      <c r="D108" s="51">
        <v>94.13</v>
      </c>
      <c r="E108" s="51">
        <v>95</v>
      </c>
      <c r="F108" s="102">
        <v>1.00924253691703</v>
      </c>
      <c r="G108" s="103">
        <v>4</v>
      </c>
      <c r="H108" s="105" t="s">
        <v>59</v>
      </c>
      <c r="I108" s="65">
        <v>7</v>
      </c>
      <c r="J108" s="65">
        <v>7</v>
      </c>
      <c r="K108" s="65">
        <f t="shared" si="21"/>
        <v>960</v>
      </c>
      <c r="L108" s="68">
        <f t="shared" si="22"/>
        <v>1453.32772394528</v>
      </c>
      <c r="M108" s="68">
        <f t="shared" si="23"/>
        <v>2413.32772394528</v>
      </c>
    </row>
    <row r="109" ht="20.1" customHeight="1" spans="1:13">
      <c r="A109" s="49" t="s">
        <v>103</v>
      </c>
      <c r="B109" s="50" t="s">
        <v>56</v>
      </c>
      <c r="C109" s="50">
        <v>37</v>
      </c>
      <c r="D109" s="101">
        <v>94.13</v>
      </c>
      <c r="E109" s="51">
        <v>94.7162162162162</v>
      </c>
      <c r="F109" s="102">
        <v>1.00622772990775</v>
      </c>
      <c r="G109" s="103">
        <v>5</v>
      </c>
      <c r="H109" s="105" t="s">
        <v>100</v>
      </c>
      <c r="I109" s="65">
        <v>7</v>
      </c>
      <c r="J109" s="65">
        <v>7</v>
      </c>
      <c r="K109" s="65">
        <f t="shared" si="21"/>
        <v>960</v>
      </c>
      <c r="L109" s="68">
        <f t="shared" si="22"/>
        <v>1448.98634667603</v>
      </c>
      <c r="M109" s="68">
        <f t="shared" si="23"/>
        <v>2408.98634667603</v>
      </c>
    </row>
    <row r="110" ht="20.1" customHeight="1" spans="1:13">
      <c r="A110" s="49" t="s">
        <v>104</v>
      </c>
      <c r="B110" s="50" t="s">
        <v>56</v>
      </c>
      <c r="C110" s="50">
        <v>45</v>
      </c>
      <c r="D110" s="51">
        <v>94.13</v>
      </c>
      <c r="E110" s="51">
        <v>89.3372093023256</v>
      </c>
      <c r="F110" s="102">
        <v>0.949083281656492</v>
      </c>
      <c r="G110" s="103">
        <v>6</v>
      </c>
      <c r="H110" s="8" t="s">
        <v>63</v>
      </c>
      <c r="I110" s="65">
        <v>7</v>
      </c>
      <c r="J110" s="65">
        <v>7</v>
      </c>
      <c r="K110" s="65">
        <f t="shared" si="21"/>
        <v>960</v>
      </c>
      <c r="L110" s="68">
        <f t="shared" si="22"/>
        <v>1366.6972953576</v>
      </c>
      <c r="M110" s="68">
        <f t="shared" si="23"/>
        <v>2326.6972953576</v>
      </c>
    </row>
    <row r="111" ht="20.1" customHeight="1" spans="1:13">
      <c r="A111" s="49" t="s">
        <v>105</v>
      </c>
      <c r="B111" s="106" t="s">
        <v>56</v>
      </c>
      <c r="C111" s="106">
        <v>41</v>
      </c>
      <c r="D111" s="101">
        <v>94.13</v>
      </c>
      <c r="E111" s="107">
        <v>87.5405405405405</v>
      </c>
      <c r="F111" s="102">
        <v>0.929996181244455</v>
      </c>
      <c r="G111" s="103">
        <v>7</v>
      </c>
      <c r="H111" s="108" t="s">
        <v>62</v>
      </c>
      <c r="I111" s="65">
        <v>7</v>
      </c>
      <c r="J111" s="65">
        <v>7</v>
      </c>
      <c r="K111" s="65">
        <f t="shared" si="21"/>
        <v>960</v>
      </c>
      <c r="L111" s="68">
        <f t="shared" si="22"/>
        <v>1339.21152143919</v>
      </c>
      <c r="M111" s="68">
        <f t="shared" si="23"/>
        <v>2299.21152143919</v>
      </c>
    </row>
    <row r="112" ht="20.1" customHeight="1" spans="1:13">
      <c r="A112" s="57"/>
      <c r="B112" s="57"/>
      <c r="C112" s="57"/>
      <c r="D112" s="98"/>
      <c r="E112" s="98"/>
      <c r="F112" s="77"/>
      <c r="G112" s="73"/>
      <c r="H112" s="57"/>
      <c r="I112" s="59"/>
      <c r="J112" s="65" t="s">
        <v>20</v>
      </c>
      <c r="K112" s="75">
        <f>SUM(K105:K111)</f>
        <v>6720</v>
      </c>
      <c r="L112" s="75">
        <f>SUM(L105:L111)</f>
        <v>10080</v>
      </c>
      <c r="M112" s="75">
        <f t="shared" si="23"/>
        <v>16800</v>
      </c>
    </row>
    <row r="113" ht="20.1" customHeight="1" spans="1:13">
      <c r="A113" s="57"/>
      <c r="B113" s="57" t="s">
        <v>2</v>
      </c>
      <c r="C113" s="57" t="s">
        <v>3</v>
      </c>
      <c r="D113" s="58" t="s">
        <v>4</v>
      </c>
      <c r="E113" s="98"/>
      <c r="F113" s="77"/>
      <c r="G113" s="73"/>
      <c r="H113" s="57"/>
      <c r="I113" s="59"/>
      <c r="J113" s="59"/>
      <c r="K113" s="57"/>
      <c r="L113" s="57"/>
      <c r="M113" s="57"/>
    </row>
    <row r="114" ht="20.1" customHeight="1" spans="1:13">
      <c r="A114" s="78" t="s">
        <v>106</v>
      </c>
      <c r="B114" s="65" t="s">
        <v>10</v>
      </c>
      <c r="C114" s="65">
        <f>C12</f>
        <v>21000</v>
      </c>
      <c r="D114" s="79">
        <f>D12</f>
        <v>16800</v>
      </c>
      <c r="E114" s="57"/>
      <c r="F114" s="57"/>
      <c r="G114" s="59"/>
      <c r="H114" s="59"/>
      <c r="I114" s="63" t="s">
        <v>22</v>
      </c>
      <c r="J114" s="64"/>
      <c r="K114" s="65"/>
      <c r="L114" s="65"/>
      <c r="M114" s="65"/>
    </row>
    <row r="115" ht="20.1" customHeight="1" spans="1:13">
      <c r="A115" s="65" t="s">
        <v>23</v>
      </c>
      <c r="B115" s="65" t="s">
        <v>1</v>
      </c>
      <c r="C115" s="65" t="s">
        <v>24</v>
      </c>
      <c r="D115" s="65" t="s">
        <v>25</v>
      </c>
      <c r="E115" s="65" t="s">
        <v>26</v>
      </c>
      <c r="F115" s="65" t="s">
        <v>27</v>
      </c>
      <c r="G115" s="65" t="s">
        <v>28</v>
      </c>
      <c r="H115" s="65" t="s">
        <v>29</v>
      </c>
      <c r="I115" s="66" t="s">
        <v>30</v>
      </c>
      <c r="J115" s="66" t="s">
        <v>31</v>
      </c>
      <c r="K115" s="65" t="s">
        <v>32</v>
      </c>
      <c r="L115" s="65" t="s">
        <v>33</v>
      </c>
      <c r="M115" s="65" t="s">
        <v>20</v>
      </c>
    </row>
    <row r="116" ht="20.1" customHeight="1" spans="1:13">
      <c r="A116" s="80" t="s">
        <v>98</v>
      </c>
      <c r="B116" s="81" t="s">
        <v>66</v>
      </c>
      <c r="C116" s="81">
        <v>43</v>
      </c>
      <c r="D116" s="82">
        <v>50.03</v>
      </c>
      <c r="E116" s="82">
        <v>58.4651162790698</v>
      </c>
      <c r="F116" s="85">
        <v>1.16860116488247</v>
      </c>
      <c r="G116" s="87">
        <v>1</v>
      </c>
      <c r="H116" s="8" t="s">
        <v>70</v>
      </c>
      <c r="I116" s="65">
        <v>8</v>
      </c>
      <c r="J116" s="65">
        <v>8</v>
      </c>
      <c r="K116" s="65">
        <f t="shared" ref="K116:K122" si="24">$D$114*0.4*SUM(I116:J116)/SUM($I$116:$J$122)</f>
        <v>960</v>
      </c>
      <c r="L116" s="68">
        <f t="shared" ref="L116:L122" si="25">$D$114*0.6*0.7*E116/SUM($E$116:$E$122)+$D$114*0.6*0.3*F116/SUM($F$116:$F$122)</f>
        <v>1682.78205232653</v>
      </c>
      <c r="M116" s="68">
        <f t="shared" ref="M116:M123" si="26">SUM(K116:L116)</f>
        <v>2642.78205232653</v>
      </c>
    </row>
    <row r="117" ht="20.1" customHeight="1" spans="1:13">
      <c r="A117" s="80" t="s">
        <v>101</v>
      </c>
      <c r="B117" s="81" t="s">
        <v>66</v>
      </c>
      <c r="C117" s="81">
        <v>45</v>
      </c>
      <c r="D117" s="82">
        <v>50.03</v>
      </c>
      <c r="E117" s="82">
        <v>52.4888888888889</v>
      </c>
      <c r="F117" s="85">
        <v>1.04914828880449</v>
      </c>
      <c r="G117" s="87">
        <v>2</v>
      </c>
      <c r="H117" s="8" t="s">
        <v>72</v>
      </c>
      <c r="I117" s="65">
        <v>8</v>
      </c>
      <c r="J117" s="65">
        <v>8</v>
      </c>
      <c r="K117" s="65">
        <f t="shared" si="24"/>
        <v>960</v>
      </c>
      <c r="L117" s="68">
        <f t="shared" si="25"/>
        <v>1510.77028132764</v>
      </c>
      <c r="M117" s="68">
        <f t="shared" si="26"/>
        <v>2470.77028132764</v>
      </c>
    </row>
    <row r="118" ht="20.1" customHeight="1" spans="1:13">
      <c r="A118" s="80" t="s">
        <v>103</v>
      </c>
      <c r="B118" s="81" t="s">
        <v>66</v>
      </c>
      <c r="C118" s="81">
        <v>37</v>
      </c>
      <c r="D118" s="82">
        <v>50.03</v>
      </c>
      <c r="E118" s="82">
        <v>51.4324324324324</v>
      </c>
      <c r="F118" s="85">
        <v>1.02803182955092</v>
      </c>
      <c r="G118" s="87">
        <v>3</v>
      </c>
      <c r="H118" s="8" t="s">
        <v>107</v>
      </c>
      <c r="I118" s="65">
        <v>8</v>
      </c>
      <c r="J118" s="65">
        <v>8</v>
      </c>
      <c r="K118" s="65">
        <f t="shared" si="24"/>
        <v>960</v>
      </c>
      <c r="L118" s="68">
        <f t="shared" si="25"/>
        <v>1480.36264550762</v>
      </c>
      <c r="M118" s="68">
        <f t="shared" si="26"/>
        <v>2440.36264550762</v>
      </c>
    </row>
    <row r="119" ht="20.1" customHeight="1" spans="1:13">
      <c r="A119" s="80" t="s">
        <v>99</v>
      </c>
      <c r="B119" s="81" t="s">
        <v>66</v>
      </c>
      <c r="C119" s="81">
        <v>42</v>
      </c>
      <c r="D119" s="82">
        <v>50.03</v>
      </c>
      <c r="E119" s="82">
        <v>50.2926829268293</v>
      </c>
      <c r="F119" s="85">
        <v>1.00525050823165</v>
      </c>
      <c r="G119" s="87">
        <v>4</v>
      </c>
      <c r="H119" s="8" t="s">
        <v>71</v>
      </c>
      <c r="I119" s="65">
        <v>8</v>
      </c>
      <c r="J119" s="65">
        <v>8</v>
      </c>
      <c r="K119" s="65">
        <f t="shared" si="24"/>
        <v>960</v>
      </c>
      <c r="L119" s="68">
        <f t="shared" si="25"/>
        <v>1447.55761347754</v>
      </c>
      <c r="M119" s="68">
        <f t="shared" si="26"/>
        <v>2407.55761347754</v>
      </c>
    </row>
    <row r="120" ht="20.1" customHeight="1" spans="1:13">
      <c r="A120" s="80" t="s">
        <v>102</v>
      </c>
      <c r="B120" s="81" t="s">
        <v>66</v>
      </c>
      <c r="C120" s="81">
        <v>32</v>
      </c>
      <c r="D120" s="82">
        <v>50.03</v>
      </c>
      <c r="E120" s="82">
        <v>49.375</v>
      </c>
      <c r="F120" s="85">
        <v>0.986907855286828</v>
      </c>
      <c r="G120" s="87">
        <v>5</v>
      </c>
      <c r="H120" s="8" t="s">
        <v>73</v>
      </c>
      <c r="I120" s="65">
        <v>8</v>
      </c>
      <c r="J120" s="65">
        <v>8</v>
      </c>
      <c r="K120" s="65">
        <f t="shared" si="24"/>
        <v>960</v>
      </c>
      <c r="L120" s="68">
        <f t="shared" si="25"/>
        <v>1421.14425013753</v>
      </c>
      <c r="M120" s="68">
        <f t="shared" si="26"/>
        <v>2381.14425013753</v>
      </c>
    </row>
    <row r="121" ht="20.1" customHeight="1" spans="1:13">
      <c r="A121" s="80" t="s">
        <v>104</v>
      </c>
      <c r="B121" s="81" t="s">
        <v>66</v>
      </c>
      <c r="C121" s="81">
        <v>45</v>
      </c>
      <c r="D121" s="82">
        <v>50.03</v>
      </c>
      <c r="E121" s="82">
        <v>44.8863636363636</v>
      </c>
      <c r="F121" s="85">
        <v>0.897188959351662</v>
      </c>
      <c r="G121" s="87">
        <v>6</v>
      </c>
      <c r="H121" s="8" t="s">
        <v>68</v>
      </c>
      <c r="I121" s="65">
        <v>8</v>
      </c>
      <c r="J121" s="65">
        <v>8</v>
      </c>
      <c r="K121" s="65">
        <f t="shared" si="24"/>
        <v>960</v>
      </c>
      <c r="L121" s="68">
        <f t="shared" si="25"/>
        <v>1291.94931830685</v>
      </c>
      <c r="M121" s="68">
        <f t="shared" si="26"/>
        <v>2251.94931830685</v>
      </c>
    </row>
    <row r="122" ht="20.1" customHeight="1" spans="1:13">
      <c r="A122" s="80" t="s">
        <v>105</v>
      </c>
      <c r="B122" s="81" t="s">
        <v>66</v>
      </c>
      <c r="C122" s="81">
        <v>41</v>
      </c>
      <c r="D122" s="82">
        <v>50.03</v>
      </c>
      <c r="E122" s="82">
        <v>43.2702702702703</v>
      </c>
      <c r="F122" s="85">
        <v>0.864886473521293</v>
      </c>
      <c r="G122" s="87">
        <v>7</v>
      </c>
      <c r="H122" s="8" t="s">
        <v>107</v>
      </c>
      <c r="I122" s="65">
        <v>8</v>
      </c>
      <c r="J122" s="65">
        <v>8</v>
      </c>
      <c r="K122" s="65">
        <f t="shared" si="24"/>
        <v>960</v>
      </c>
      <c r="L122" s="68">
        <f t="shared" si="25"/>
        <v>1245.43383891629</v>
      </c>
      <c r="M122" s="68">
        <f t="shared" si="26"/>
        <v>2205.43383891629</v>
      </c>
    </row>
    <row r="123" ht="20.1" customHeight="1" spans="1:13">
      <c r="A123" s="57"/>
      <c r="B123" s="57"/>
      <c r="C123" s="59"/>
      <c r="D123" s="57"/>
      <c r="E123" s="59"/>
      <c r="F123" s="59"/>
      <c r="G123" s="59"/>
      <c r="H123" s="59"/>
      <c r="I123" s="59"/>
      <c r="J123" s="65" t="s">
        <v>20</v>
      </c>
      <c r="K123" s="75">
        <f>SUM(K116:K122)</f>
        <v>6720</v>
      </c>
      <c r="L123" s="75">
        <f>SUM(L116:L122)</f>
        <v>10080</v>
      </c>
      <c r="M123" s="75">
        <f t="shared" si="26"/>
        <v>16800</v>
      </c>
    </row>
    <row r="124" ht="20.1" customHeight="1" spans="1:13">
      <c r="A124" s="57"/>
      <c r="B124" s="57"/>
      <c r="C124" s="59"/>
      <c r="D124" s="57"/>
      <c r="E124" s="59"/>
      <c r="F124" s="59"/>
      <c r="G124" s="59"/>
      <c r="H124" s="59"/>
      <c r="I124" s="59"/>
      <c r="J124" s="59"/>
      <c r="K124" s="57"/>
      <c r="L124" s="57"/>
      <c r="M124" s="57"/>
    </row>
    <row r="125" ht="20.1" customHeight="1" spans="1:13">
      <c r="A125" s="57"/>
      <c r="B125" s="57" t="s">
        <v>2</v>
      </c>
      <c r="C125" s="57" t="s">
        <v>3</v>
      </c>
      <c r="D125" s="57" t="s">
        <v>4</v>
      </c>
      <c r="E125" s="96"/>
      <c r="F125" s="72"/>
      <c r="G125" s="73"/>
      <c r="H125" s="57"/>
      <c r="I125" s="59"/>
      <c r="J125" s="59"/>
      <c r="K125" s="57"/>
      <c r="L125" s="57"/>
      <c r="M125" s="57"/>
    </row>
    <row r="126" ht="20.1" customHeight="1" spans="1:13">
      <c r="A126" s="78" t="s">
        <v>108</v>
      </c>
      <c r="B126" s="65" t="s">
        <v>10</v>
      </c>
      <c r="C126" s="65">
        <f>C13</f>
        <v>16800</v>
      </c>
      <c r="D126" s="79">
        <f>D13</f>
        <v>13440</v>
      </c>
      <c r="E126" s="71"/>
      <c r="F126" s="72"/>
      <c r="G126" s="73"/>
      <c r="H126" s="57"/>
      <c r="I126" s="63" t="s">
        <v>22</v>
      </c>
      <c r="J126" s="64"/>
      <c r="K126" s="65"/>
      <c r="L126" s="65"/>
      <c r="M126" s="65"/>
    </row>
    <row r="127" ht="20.1" customHeight="1" spans="1:13">
      <c r="A127" s="65" t="s">
        <v>23</v>
      </c>
      <c r="B127" s="65" t="s">
        <v>1</v>
      </c>
      <c r="C127" s="65" t="s">
        <v>24</v>
      </c>
      <c r="D127" s="65" t="s">
        <v>25</v>
      </c>
      <c r="E127" s="65" t="s">
        <v>26</v>
      </c>
      <c r="F127" s="65" t="s">
        <v>27</v>
      </c>
      <c r="G127" s="65" t="s">
        <v>28</v>
      </c>
      <c r="H127" s="65" t="s">
        <v>29</v>
      </c>
      <c r="I127" s="66" t="s">
        <v>30</v>
      </c>
      <c r="J127" s="66" t="s">
        <v>31</v>
      </c>
      <c r="K127" s="65" t="s">
        <v>32</v>
      </c>
      <c r="L127" s="65" t="s">
        <v>33</v>
      </c>
      <c r="M127" s="65" t="s">
        <v>20</v>
      </c>
    </row>
    <row r="128" ht="20.1" customHeight="1" spans="1:13">
      <c r="A128" s="80" t="s">
        <v>109</v>
      </c>
      <c r="B128" s="81" t="s">
        <v>110</v>
      </c>
      <c r="C128" s="81">
        <v>43</v>
      </c>
      <c r="D128" s="82">
        <v>63.05</v>
      </c>
      <c r="E128" s="82">
        <v>69.7441860465116</v>
      </c>
      <c r="F128" s="83">
        <v>1.10617265735942</v>
      </c>
      <c r="G128" s="65">
        <v>1</v>
      </c>
      <c r="H128" s="99" t="s">
        <v>111</v>
      </c>
      <c r="I128" s="65">
        <v>6</v>
      </c>
      <c r="J128" s="65">
        <v>6</v>
      </c>
      <c r="K128" s="65">
        <f t="shared" ref="K128:K135" si="27">$D$126*0.4*SUM(I128:J128)/SUM($I$128:$J$134)</f>
        <v>768</v>
      </c>
      <c r="L128" s="68">
        <f t="shared" ref="L128:L135" si="28">$D$126*0.6*0.7*E128/SUM($E$128:$E$134)+$D$126*0.6*0.3*F128/SUM($F$128:$F$134)</f>
        <v>1274.37923999861</v>
      </c>
      <c r="M128" s="68">
        <f t="shared" ref="M128:M136" si="29">SUM(K128:L128)</f>
        <v>2042.37923999861</v>
      </c>
    </row>
    <row r="129" ht="20.1" customHeight="1" spans="1:13">
      <c r="A129" s="80" t="s">
        <v>49</v>
      </c>
      <c r="B129" s="81" t="s">
        <v>110</v>
      </c>
      <c r="C129" s="81">
        <v>32</v>
      </c>
      <c r="D129" s="82">
        <v>63.05</v>
      </c>
      <c r="E129" s="82">
        <v>65.21875</v>
      </c>
      <c r="F129" s="83">
        <v>1.0343973037272</v>
      </c>
      <c r="G129" s="65">
        <v>2</v>
      </c>
      <c r="H129" s="8" t="s">
        <v>112</v>
      </c>
      <c r="I129" s="65">
        <v>6</v>
      </c>
      <c r="J129" s="65">
        <v>6</v>
      </c>
      <c r="K129" s="65">
        <f t="shared" si="27"/>
        <v>768</v>
      </c>
      <c r="L129" s="68">
        <f t="shared" si="28"/>
        <v>1191.68959837358</v>
      </c>
      <c r="M129" s="68">
        <f t="shared" si="29"/>
        <v>1959.68959837358</v>
      </c>
    </row>
    <row r="130" ht="20.1" customHeight="1" spans="1:13">
      <c r="A130" s="80" t="s">
        <v>113</v>
      </c>
      <c r="B130" s="81" t="s">
        <v>110</v>
      </c>
      <c r="C130" s="81">
        <v>45</v>
      </c>
      <c r="D130" s="82">
        <v>63.05</v>
      </c>
      <c r="E130" s="82">
        <v>64.7111111111111</v>
      </c>
      <c r="F130" s="83">
        <v>1.02634593356243</v>
      </c>
      <c r="G130" s="65">
        <v>3</v>
      </c>
      <c r="H130" s="8" t="s">
        <v>114</v>
      </c>
      <c r="I130" s="65">
        <v>6</v>
      </c>
      <c r="J130" s="65">
        <v>6</v>
      </c>
      <c r="K130" s="65">
        <f t="shared" si="27"/>
        <v>768</v>
      </c>
      <c r="L130" s="68">
        <f t="shared" si="28"/>
        <v>1182.41392253467</v>
      </c>
      <c r="M130" s="68">
        <f t="shared" si="29"/>
        <v>1950.41392253467</v>
      </c>
    </row>
    <row r="131" ht="20.1" customHeight="1" spans="1:13">
      <c r="A131" s="80" t="s">
        <v>52</v>
      </c>
      <c r="B131" s="81" t="s">
        <v>110</v>
      </c>
      <c r="C131" s="81">
        <v>37</v>
      </c>
      <c r="D131" s="82">
        <v>63.05</v>
      </c>
      <c r="E131" s="82">
        <v>62.6216216216216</v>
      </c>
      <c r="F131" s="83">
        <v>0.993205735473777</v>
      </c>
      <c r="G131" s="65">
        <v>4</v>
      </c>
      <c r="H131" s="8" t="s">
        <v>111</v>
      </c>
      <c r="I131" s="65">
        <v>6</v>
      </c>
      <c r="J131" s="65">
        <v>6</v>
      </c>
      <c r="K131" s="65">
        <f t="shared" si="27"/>
        <v>768</v>
      </c>
      <c r="L131" s="68">
        <f t="shared" si="28"/>
        <v>1144.23436695386</v>
      </c>
      <c r="M131" s="68">
        <f t="shared" si="29"/>
        <v>1912.23436695386</v>
      </c>
    </row>
    <row r="132" ht="20.1" customHeight="1" spans="1:13">
      <c r="A132" s="80" t="s">
        <v>115</v>
      </c>
      <c r="B132" s="81" t="s">
        <v>110</v>
      </c>
      <c r="C132" s="81">
        <v>42</v>
      </c>
      <c r="D132" s="82">
        <v>63.05</v>
      </c>
      <c r="E132" s="82">
        <v>61.6190476190476</v>
      </c>
      <c r="F132" s="83">
        <v>0.977304482459122</v>
      </c>
      <c r="G132" s="65">
        <v>5</v>
      </c>
      <c r="H132" s="8" t="s">
        <v>116</v>
      </c>
      <c r="I132" s="65">
        <v>6</v>
      </c>
      <c r="J132" s="65">
        <v>6</v>
      </c>
      <c r="K132" s="65">
        <f t="shared" si="27"/>
        <v>768</v>
      </c>
      <c r="L132" s="68">
        <f t="shared" si="28"/>
        <v>1125.91514111057</v>
      </c>
      <c r="M132" s="68">
        <f t="shared" si="29"/>
        <v>1893.91514111057</v>
      </c>
    </row>
    <row r="133" ht="20.1" customHeight="1" spans="1:13">
      <c r="A133" s="80" t="s">
        <v>117</v>
      </c>
      <c r="B133" s="81" t="s">
        <v>110</v>
      </c>
      <c r="C133" s="81">
        <v>45</v>
      </c>
      <c r="D133" s="82">
        <v>63.05</v>
      </c>
      <c r="E133" s="82">
        <v>59.5227272727273</v>
      </c>
      <c r="F133" s="83">
        <v>0.944055944055944</v>
      </c>
      <c r="G133" s="65">
        <v>6</v>
      </c>
      <c r="H133" s="8" t="s">
        <v>114</v>
      </c>
      <c r="I133" s="65">
        <v>6</v>
      </c>
      <c r="J133" s="65">
        <v>6</v>
      </c>
      <c r="K133" s="65">
        <f t="shared" si="27"/>
        <v>768</v>
      </c>
      <c r="L133" s="68">
        <f t="shared" si="28"/>
        <v>1087.61077079423</v>
      </c>
      <c r="M133" s="68">
        <f t="shared" si="29"/>
        <v>1855.61077079423</v>
      </c>
    </row>
    <row r="134" ht="20.1" customHeight="1" spans="1:13">
      <c r="A134" s="80" t="s">
        <v>118</v>
      </c>
      <c r="B134" s="81" t="s">
        <v>110</v>
      </c>
      <c r="C134" s="81">
        <v>41</v>
      </c>
      <c r="D134" s="82">
        <v>63.05</v>
      </c>
      <c r="E134" s="82">
        <v>57.8888888888889</v>
      </c>
      <c r="F134" s="83">
        <v>0.918142567627104</v>
      </c>
      <c r="G134" s="65">
        <v>7</v>
      </c>
      <c r="H134" s="8" t="s">
        <v>112</v>
      </c>
      <c r="I134" s="65">
        <v>6</v>
      </c>
      <c r="J134" s="65">
        <v>6</v>
      </c>
      <c r="K134" s="65">
        <f t="shared" si="27"/>
        <v>768</v>
      </c>
      <c r="L134" s="68">
        <f t="shared" si="28"/>
        <v>1057.75696023448</v>
      </c>
      <c r="M134" s="68">
        <f t="shared" si="29"/>
        <v>1825.75696023448</v>
      </c>
    </row>
    <row r="135" ht="20.1" customHeight="1" spans="1:13">
      <c r="A135" s="57"/>
      <c r="B135" s="57"/>
      <c r="C135" s="57"/>
      <c r="D135" s="98"/>
      <c r="E135" s="98"/>
      <c r="F135" s="72"/>
      <c r="G135" s="73"/>
      <c r="H135" s="57"/>
      <c r="I135" s="57"/>
      <c r="J135" s="65" t="s">
        <v>20</v>
      </c>
      <c r="K135" s="75">
        <f>SUM(K128:K134)</f>
        <v>5376</v>
      </c>
      <c r="L135" s="74">
        <f>SUM(L128:L134)</f>
        <v>8064</v>
      </c>
      <c r="M135" s="75">
        <f t="shared" si="29"/>
        <v>13440</v>
      </c>
    </row>
    <row r="136" ht="20.1" customHeight="1" spans="1:13">
      <c r="A136" s="57"/>
      <c r="B136" s="57"/>
      <c r="C136" s="59"/>
      <c r="D136" s="57"/>
      <c r="E136" s="59"/>
      <c r="F136" s="59"/>
      <c r="G136" s="59"/>
      <c r="H136" s="59"/>
      <c r="I136" s="59"/>
      <c r="J136" s="59"/>
      <c r="K136" s="57"/>
      <c r="L136" s="57"/>
      <c r="M136" s="57"/>
    </row>
    <row r="137" ht="20.1" customHeight="1" spans="1:13">
      <c r="A137" s="57"/>
      <c r="B137" s="57" t="s">
        <v>2</v>
      </c>
      <c r="C137" s="57" t="s">
        <v>3</v>
      </c>
      <c r="D137" s="58" t="s">
        <v>4</v>
      </c>
      <c r="E137" s="98"/>
      <c r="F137" s="77"/>
      <c r="G137" s="73"/>
      <c r="H137" s="57"/>
      <c r="I137" s="59"/>
      <c r="J137" s="59"/>
      <c r="K137" s="57"/>
      <c r="L137" s="57"/>
      <c r="M137" s="57"/>
    </row>
    <row r="138" ht="20.1" customHeight="1" spans="1:13">
      <c r="A138" s="78" t="s">
        <v>119</v>
      </c>
      <c r="B138" s="65" t="s">
        <v>10</v>
      </c>
      <c r="C138" s="65">
        <f>C14</f>
        <v>9000</v>
      </c>
      <c r="D138" s="79">
        <f>D14</f>
        <v>7200</v>
      </c>
      <c r="E138" s="57"/>
      <c r="F138" s="57"/>
      <c r="G138" s="59"/>
      <c r="H138" s="59"/>
      <c r="I138" s="63" t="s">
        <v>22</v>
      </c>
      <c r="J138" s="64"/>
      <c r="K138" s="65"/>
      <c r="L138" s="65"/>
      <c r="M138" s="65"/>
    </row>
    <row r="139" ht="20.1" customHeight="1" spans="1:13">
      <c r="A139" s="65" t="s">
        <v>23</v>
      </c>
      <c r="B139" s="65" t="s">
        <v>1</v>
      </c>
      <c r="C139" s="65" t="s">
        <v>24</v>
      </c>
      <c r="D139" s="65" t="s">
        <v>25</v>
      </c>
      <c r="E139" s="65" t="s">
        <v>26</v>
      </c>
      <c r="F139" s="65" t="s">
        <v>27</v>
      </c>
      <c r="G139" s="65" t="s">
        <v>28</v>
      </c>
      <c r="H139" s="65" t="s">
        <v>29</v>
      </c>
      <c r="I139" s="66" t="s">
        <v>30</v>
      </c>
      <c r="J139" s="66" t="s">
        <v>31</v>
      </c>
      <c r="K139" s="65" t="s">
        <v>32</v>
      </c>
      <c r="L139" s="65" t="s">
        <v>33</v>
      </c>
      <c r="M139" s="65" t="s">
        <v>20</v>
      </c>
    </row>
    <row r="140" ht="20.1" customHeight="1" spans="1:13">
      <c r="A140" s="80" t="s">
        <v>109</v>
      </c>
      <c r="B140" s="81" t="s">
        <v>94</v>
      </c>
      <c r="C140" s="81">
        <v>43</v>
      </c>
      <c r="D140" s="82">
        <v>71.08</v>
      </c>
      <c r="E140" s="82">
        <v>77.9651162790698</v>
      </c>
      <c r="F140" s="85">
        <v>1.09686432581696</v>
      </c>
      <c r="G140" s="87">
        <v>1</v>
      </c>
      <c r="H140" s="8" t="s">
        <v>96</v>
      </c>
      <c r="I140" s="65">
        <v>5</v>
      </c>
      <c r="J140" s="65">
        <v>5</v>
      </c>
      <c r="K140" s="65">
        <f t="shared" ref="K140:K146" si="30">$D$138*0.4*SUM(I140:J140)/SUM($I$140:$J$146)</f>
        <v>411.428571428571</v>
      </c>
      <c r="L140" s="68">
        <f>$D$138*0.6*0.7*E140/SUM($E$140:$E$146)+$D$138*0.6*0.3*F140/SUM($F$140:$F$146)</f>
        <v>676.959403425724</v>
      </c>
      <c r="M140" s="68">
        <f t="shared" ref="M140:M147" si="31">SUM(K140:L140)</f>
        <v>1088.38797485429</v>
      </c>
    </row>
    <row r="141" ht="20.1" customHeight="1" spans="1:13">
      <c r="A141" s="80" t="s">
        <v>113</v>
      </c>
      <c r="B141" s="81" t="s">
        <v>94</v>
      </c>
      <c r="C141" s="81">
        <v>45</v>
      </c>
      <c r="D141" s="82">
        <v>71.08</v>
      </c>
      <c r="E141" s="82">
        <v>76.5288888888889</v>
      </c>
      <c r="F141" s="85">
        <v>1.07665853811042</v>
      </c>
      <c r="G141" s="87">
        <v>2</v>
      </c>
      <c r="H141" s="8" t="s">
        <v>120</v>
      </c>
      <c r="I141" s="65">
        <v>5</v>
      </c>
      <c r="J141" s="65">
        <v>5</v>
      </c>
      <c r="K141" s="65">
        <f t="shared" si="30"/>
        <v>411.428571428571</v>
      </c>
      <c r="L141" s="68">
        <f t="shared" ref="L141:L146" si="32">$D$138*0.6*0.7*E141/SUM($E$140:$E$146)+$D$138*0.6*0.3*F141/SUM($F$140:$F$146)</f>
        <v>664.488856549857</v>
      </c>
      <c r="M141" s="68">
        <f t="shared" si="31"/>
        <v>1075.91742797843</v>
      </c>
    </row>
    <row r="142" ht="20.1" customHeight="1" spans="1:13">
      <c r="A142" s="80" t="s">
        <v>52</v>
      </c>
      <c r="B142" s="81" t="s">
        <v>94</v>
      </c>
      <c r="C142" s="81">
        <v>37</v>
      </c>
      <c r="D142" s="82">
        <v>71.08</v>
      </c>
      <c r="E142" s="82">
        <v>76.1648648648649</v>
      </c>
      <c r="F142" s="85">
        <v>1.0715372096914</v>
      </c>
      <c r="G142" s="87">
        <v>3</v>
      </c>
      <c r="H142" s="8" t="s">
        <v>120</v>
      </c>
      <c r="I142" s="65">
        <v>5</v>
      </c>
      <c r="J142" s="65">
        <v>5</v>
      </c>
      <c r="K142" s="65">
        <f t="shared" si="30"/>
        <v>411.428571428571</v>
      </c>
      <c r="L142" s="68">
        <f t="shared" si="32"/>
        <v>661.328090583013</v>
      </c>
      <c r="M142" s="68">
        <f t="shared" si="31"/>
        <v>1072.75666201158</v>
      </c>
    </row>
    <row r="143" ht="20.1" customHeight="1" spans="1:13">
      <c r="A143" s="80" t="s">
        <v>49</v>
      </c>
      <c r="B143" s="81" t="s">
        <v>94</v>
      </c>
      <c r="C143" s="81">
        <v>32</v>
      </c>
      <c r="D143" s="82">
        <v>71.08</v>
      </c>
      <c r="E143" s="82">
        <v>75.5375</v>
      </c>
      <c r="F143" s="85">
        <v>1.06271102982555</v>
      </c>
      <c r="G143" s="87">
        <v>4</v>
      </c>
      <c r="H143" s="8" t="s">
        <v>121</v>
      </c>
      <c r="I143" s="65">
        <v>5</v>
      </c>
      <c r="J143" s="65">
        <v>5</v>
      </c>
      <c r="K143" s="65">
        <f t="shared" si="30"/>
        <v>411.428571428571</v>
      </c>
      <c r="L143" s="68">
        <f t="shared" si="32"/>
        <v>655.880775618087</v>
      </c>
      <c r="M143" s="68">
        <f t="shared" si="31"/>
        <v>1067.30934704666</v>
      </c>
    </row>
    <row r="144" ht="20.1" customHeight="1" spans="1:13">
      <c r="A144" s="80" t="s">
        <v>115</v>
      </c>
      <c r="B144" s="81" t="s">
        <v>94</v>
      </c>
      <c r="C144" s="81">
        <v>42</v>
      </c>
      <c r="D144" s="82">
        <v>71.08</v>
      </c>
      <c r="E144" s="82">
        <v>69.2487804878049</v>
      </c>
      <c r="F144" s="85">
        <v>0.974237204386675</v>
      </c>
      <c r="G144" s="87">
        <v>5</v>
      </c>
      <c r="H144" s="8" t="s">
        <v>121</v>
      </c>
      <c r="I144" s="65">
        <v>5</v>
      </c>
      <c r="J144" s="65">
        <v>5</v>
      </c>
      <c r="K144" s="65">
        <f t="shared" si="30"/>
        <v>411.428571428571</v>
      </c>
      <c r="L144" s="68">
        <f t="shared" si="32"/>
        <v>601.27676792253</v>
      </c>
      <c r="M144" s="68">
        <f t="shared" si="31"/>
        <v>1012.7053393511</v>
      </c>
    </row>
    <row r="145" ht="20.1" customHeight="1" spans="1:13">
      <c r="A145" s="80" t="s">
        <v>117</v>
      </c>
      <c r="B145" s="81" t="s">
        <v>94</v>
      </c>
      <c r="C145" s="81">
        <v>45</v>
      </c>
      <c r="D145" s="82">
        <v>71.08</v>
      </c>
      <c r="E145" s="82">
        <v>64.1954545454545</v>
      </c>
      <c r="F145" s="85">
        <v>0.903143704916355</v>
      </c>
      <c r="G145" s="87">
        <v>6</v>
      </c>
      <c r="H145" s="8" t="s">
        <v>96</v>
      </c>
      <c r="I145" s="65">
        <v>5</v>
      </c>
      <c r="J145" s="65">
        <v>5</v>
      </c>
      <c r="K145" s="65">
        <f t="shared" si="30"/>
        <v>411.428571428571</v>
      </c>
      <c r="L145" s="68">
        <f t="shared" si="32"/>
        <v>557.39949718257</v>
      </c>
      <c r="M145" s="68">
        <f t="shared" si="31"/>
        <v>968.828068611141</v>
      </c>
    </row>
    <row r="146" ht="20.1" customHeight="1" spans="1:13">
      <c r="A146" s="80" t="s">
        <v>118</v>
      </c>
      <c r="B146" s="81" t="s">
        <v>94</v>
      </c>
      <c r="C146" s="81">
        <v>41</v>
      </c>
      <c r="D146" s="82">
        <v>71.08</v>
      </c>
      <c r="E146" s="82">
        <v>57.8918918918919</v>
      </c>
      <c r="F146" s="85">
        <v>0.814461056441923</v>
      </c>
      <c r="G146" s="87">
        <v>7</v>
      </c>
      <c r="H146" s="8" t="s">
        <v>95</v>
      </c>
      <c r="I146" s="65">
        <v>5</v>
      </c>
      <c r="J146" s="65">
        <v>5</v>
      </c>
      <c r="K146" s="65">
        <f t="shared" si="30"/>
        <v>411.428571428571</v>
      </c>
      <c r="L146" s="68">
        <f t="shared" si="32"/>
        <v>502.66660871822</v>
      </c>
      <c r="M146" s="68">
        <f t="shared" si="31"/>
        <v>914.095180146791</v>
      </c>
    </row>
    <row r="147" ht="20.1" customHeight="1" spans="1:13">
      <c r="A147" s="57"/>
      <c r="B147" s="57"/>
      <c r="C147" s="59"/>
      <c r="D147" s="57"/>
      <c r="E147" s="59"/>
      <c r="F147" s="59"/>
      <c r="G147" s="59"/>
      <c r="H147" s="59"/>
      <c r="I147" s="59"/>
      <c r="J147" s="65" t="s">
        <v>20</v>
      </c>
      <c r="K147" s="75">
        <f>SUM(K140:K146)</f>
        <v>2880</v>
      </c>
      <c r="L147" s="75">
        <f>SUM(L140:L146)</f>
        <v>4320</v>
      </c>
      <c r="M147" s="75">
        <f t="shared" si="31"/>
        <v>7200</v>
      </c>
    </row>
  </sheetData>
  <mergeCells count="7">
    <mergeCell ref="A1:C1"/>
    <mergeCell ref="I17:J17"/>
    <mergeCell ref="I29:J29"/>
    <mergeCell ref="I35:J35"/>
    <mergeCell ref="I48:J48"/>
    <mergeCell ref="I61:J61"/>
    <mergeCell ref="I126:J12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workbookViewId="0">
      <pane ySplit="5" topLeftCell="A6" activePane="bottomLeft" state="frozen"/>
      <selection/>
      <selection pane="bottomLeft" activeCell="I18" sqref="I18"/>
    </sheetView>
  </sheetViews>
  <sheetFormatPr defaultColWidth="9" defaultRowHeight="13.5"/>
  <cols>
    <col min="1" max="1" width="24.8833333333333" customWidth="1"/>
    <col min="2" max="2" width="7" customWidth="1"/>
    <col min="3" max="4" width="12" customWidth="1"/>
    <col min="5" max="5" width="9.38333333333333" customWidth="1"/>
    <col min="6" max="6" width="21.5" customWidth="1"/>
    <col min="7" max="7" width="5.13333333333333" customWidth="1"/>
    <col min="8" max="8" width="18.6333333333333" customWidth="1"/>
    <col min="9" max="10" width="8.88333333333333" customWidth="1"/>
    <col min="11" max="13" width="12.5" customWidth="1"/>
  </cols>
  <sheetData>
    <row r="1" ht="20.1" customHeight="1" spans="1:13">
      <c r="A1" s="16" t="s">
        <v>122</v>
      </c>
      <c r="B1" s="16"/>
      <c r="C1" s="16"/>
      <c r="D1" s="17"/>
      <c r="E1" s="18"/>
      <c r="F1" s="18"/>
      <c r="G1" s="18"/>
      <c r="H1" s="18"/>
      <c r="I1" s="18"/>
      <c r="J1" s="18"/>
      <c r="K1" s="18"/>
      <c r="L1" s="18"/>
      <c r="M1" s="18"/>
    </row>
    <row r="2" ht="20.1" customHeight="1" spans="1:13">
      <c r="A2" s="17" t="s">
        <v>1</v>
      </c>
      <c r="B2" s="17" t="s">
        <v>2</v>
      </c>
      <c r="C2" s="19" t="s">
        <v>3</v>
      </c>
      <c r="D2" s="20" t="s">
        <v>4</v>
      </c>
      <c r="E2" s="18"/>
      <c r="F2" s="18"/>
      <c r="G2" s="18"/>
      <c r="H2" s="18"/>
      <c r="I2" s="18"/>
      <c r="J2" s="18"/>
      <c r="K2" s="18"/>
      <c r="L2" s="18"/>
      <c r="M2" s="18"/>
    </row>
    <row r="3" ht="20.1" customHeight="1" spans="1:13">
      <c r="A3" s="21" t="s">
        <v>123</v>
      </c>
      <c r="B3" s="22" t="s">
        <v>8</v>
      </c>
      <c r="C3" s="22">
        <f>8*4000*0.6</f>
        <v>19200</v>
      </c>
      <c r="D3" s="23">
        <f>C3*0.8</f>
        <v>15360</v>
      </c>
      <c r="E3" s="18"/>
      <c r="F3" s="18"/>
      <c r="G3" s="18"/>
      <c r="H3" s="18"/>
      <c r="I3" s="18"/>
      <c r="J3" s="18"/>
      <c r="K3" s="18"/>
      <c r="L3" s="18"/>
      <c r="M3" s="18"/>
    </row>
    <row r="4" ht="20.1" customHeight="1" spans="1:13">
      <c r="A4" s="24" t="s">
        <v>7</v>
      </c>
      <c r="B4" s="22" t="s">
        <v>10</v>
      </c>
      <c r="C4" s="22">
        <f>2000*0.6*2</f>
        <v>2400</v>
      </c>
      <c r="D4" s="23">
        <f>C4*0.8</f>
        <v>1920</v>
      </c>
      <c r="E4" s="18"/>
      <c r="F4" s="18"/>
      <c r="G4" s="18"/>
      <c r="H4" s="18"/>
      <c r="I4" s="18"/>
      <c r="J4" s="18"/>
      <c r="K4" s="18"/>
      <c r="L4" s="18"/>
      <c r="M4" s="18"/>
    </row>
    <row r="5" ht="20.1" customHeight="1" spans="1:13">
      <c r="A5" s="25"/>
      <c r="B5" s="25" t="s">
        <v>20</v>
      </c>
      <c r="C5" s="25">
        <f>SUM(C3:C4)</f>
        <v>21600</v>
      </c>
      <c r="D5" s="25">
        <f>SUM(D3:D4)</f>
        <v>17280</v>
      </c>
      <c r="E5" s="18"/>
      <c r="F5" s="18"/>
      <c r="G5" s="18"/>
      <c r="H5" s="18"/>
      <c r="I5" s="18"/>
      <c r="J5" s="18"/>
      <c r="K5" s="18"/>
      <c r="L5" s="18"/>
      <c r="M5" s="18"/>
    </row>
    <row r="6" ht="20.1" customHeight="1" spans="1:13">
      <c r="A6" s="17"/>
      <c r="B6" s="17" t="s">
        <v>2</v>
      </c>
      <c r="C6" s="17" t="s">
        <v>3</v>
      </c>
      <c r="D6" s="20" t="s">
        <v>4</v>
      </c>
      <c r="E6" s="26"/>
      <c r="F6" s="27"/>
      <c r="G6" s="28"/>
      <c r="H6" s="17"/>
      <c r="I6" s="29"/>
      <c r="J6" s="29"/>
      <c r="K6" s="17"/>
      <c r="L6" s="17"/>
      <c r="M6" s="17"/>
    </row>
    <row r="7" ht="20.1" customHeight="1" spans="1:13">
      <c r="A7" s="30" t="s">
        <v>21</v>
      </c>
      <c r="B7" s="31" t="s">
        <v>8</v>
      </c>
      <c r="C7" s="32">
        <f>C3</f>
        <v>19200</v>
      </c>
      <c r="D7" s="33">
        <f>D3</f>
        <v>15360</v>
      </c>
      <c r="E7" s="17"/>
      <c r="F7" s="17"/>
      <c r="G7" s="29"/>
      <c r="H7" s="29"/>
      <c r="I7" s="34" t="s">
        <v>22</v>
      </c>
      <c r="J7" s="35"/>
      <c r="K7" s="31"/>
      <c r="L7" s="31"/>
      <c r="M7" s="31"/>
    </row>
    <row r="8" ht="20.1" customHeight="1" spans="1:13">
      <c r="A8" s="36" t="s">
        <v>23</v>
      </c>
      <c r="B8" s="36" t="s">
        <v>1</v>
      </c>
      <c r="C8" s="36" t="s">
        <v>24</v>
      </c>
      <c r="D8" s="36" t="s">
        <v>25</v>
      </c>
      <c r="E8" s="36" t="s">
        <v>26</v>
      </c>
      <c r="F8" s="36" t="s">
        <v>27</v>
      </c>
      <c r="G8" s="36" t="s">
        <v>28</v>
      </c>
      <c r="H8" s="31" t="s">
        <v>29</v>
      </c>
      <c r="I8" s="31" t="s">
        <v>30</v>
      </c>
      <c r="J8" s="31" t="s">
        <v>31</v>
      </c>
      <c r="K8" s="31" t="s">
        <v>32</v>
      </c>
      <c r="L8" s="31" t="s">
        <v>33</v>
      </c>
      <c r="M8" s="31" t="s">
        <v>20</v>
      </c>
    </row>
    <row r="9" ht="20.1" customHeight="1" spans="1:13">
      <c r="A9" s="37" t="s">
        <v>34</v>
      </c>
      <c r="B9" s="37" t="s">
        <v>35</v>
      </c>
      <c r="C9" s="37">
        <v>43</v>
      </c>
      <c r="D9" s="38">
        <v>72.06</v>
      </c>
      <c r="E9" s="38">
        <v>79.1511627906977</v>
      </c>
      <c r="F9" s="39">
        <v>1.09840636678737</v>
      </c>
      <c r="G9" s="40">
        <v>1</v>
      </c>
      <c r="H9" s="41" t="s">
        <v>36</v>
      </c>
      <c r="I9" s="31">
        <v>5</v>
      </c>
      <c r="J9" s="31">
        <v>5</v>
      </c>
      <c r="K9" s="31">
        <f>$D$7*0.4*SUM(I9:J9)/SUM($I$9:$J$16)</f>
        <v>768</v>
      </c>
      <c r="L9" s="42">
        <f>$D$7*0.6*0.7*E9/SUM($E$9:$E$16)+$D$7*0.6*0.3*F9/SUM($F$9:$F$16)</f>
        <v>1265.32860639959</v>
      </c>
      <c r="M9" s="42">
        <f t="shared" ref="M9:M17" si="0">SUM(K9:L9)</f>
        <v>2033.32860639959</v>
      </c>
    </row>
    <row r="10" ht="20.1" customHeight="1" spans="1:13">
      <c r="A10" s="37" t="s">
        <v>37</v>
      </c>
      <c r="B10" s="37" t="s">
        <v>35</v>
      </c>
      <c r="C10" s="37">
        <v>46</v>
      </c>
      <c r="D10" s="38">
        <v>72.06</v>
      </c>
      <c r="E10" s="38">
        <v>78.2782608695652</v>
      </c>
      <c r="F10" s="39">
        <v>1.08629282361317</v>
      </c>
      <c r="G10" s="40">
        <v>2</v>
      </c>
      <c r="H10" s="41" t="s">
        <v>38</v>
      </c>
      <c r="I10" s="31">
        <v>5</v>
      </c>
      <c r="J10" s="31">
        <v>5</v>
      </c>
      <c r="K10" s="31">
        <f t="shared" ref="K10:K16" si="1">$D$7*0.4*SUM(I10:J10)/SUM($I$9:$J$16)</f>
        <v>768</v>
      </c>
      <c r="L10" s="42">
        <f t="shared" ref="L10:L16" si="2">$D$7*0.6*0.7*E10/SUM($E$9:$E$16)+$D$7*0.6*0.3*F10/SUM($F$9:$F$16)</f>
        <v>1251.37419647752</v>
      </c>
      <c r="M10" s="42">
        <f t="shared" si="0"/>
        <v>2019.37419647752</v>
      </c>
    </row>
    <row r="11" ht="20.1" customHeight="1" spans="1:13">
      <c r="A11" s="37" t="s">
        <v>39</v>
      </c>
      <c r="B11" s="37" t="s">
        <v>35</v>
      </c>
      <c r="C11" s="37">
        <v>47</v>
      </c>
      <c r="D11" s="38">
        <v>72.06</v>
      </c>
      <c r="E11" s="38">
        <v>75.5239130434783</v>
      </c>
      <c r="F11" s="39">
        <v>1.04806984517733</v>
      </c>
      <c r="G11" s="40">
        <v>3</v>
      </c>
      <c r="H11" s="41" t="s">
        <v>40</v>
      </c>
      <c r="I11" s="31">
        <v>5</v>
      </c>
      <c r="J11" s="31">
        <v>5</v>
      </c>
      <c r="K11" s="31">
        <f t="shared" si="1"/>
        <v>768</v>
      </c>
      <c r="L11" s="42">
        <f t="shared" si="2"/>
        <v>1207.34256164812</v>
      </c>
      <c r="M11" s="42">
        <f t="shared" si="0"/>
        <v>1975.34256164812</v>
      </c>
    </row>
    <row r="12" ht="20.1" customHeight="1" spans="1:13">
      <c r="A12" s="37" t="s">
        <v>41</v>
      </c>
      <c r="B12" s="37" t="s">
        <v>35</v>
      </c>
      <c r="C12" s="37">
        <v>49</v>
      </c>
      <c r="D12" s="38">
        <v>72.06</v>
      </c>
      <c r="E12" s="38">
        <v>71.9673469387755</v>
      </c>
      <c r="F12" s="39">
        <v>0.998714223407931</v>
      </c>
      <c r="G12" s="40">
        <v>4</v>
      </c>
      <c r="H12" s="41" t="s">
        <v>38</v>
      </c>
      <c r="I12" s="31">
        <v>5</v>
      </c>
      <c r="J12" s="31">
        <v>5</v>
      </c>
      <c r="K12" s="31">
        <f t="shared" si="1"/>
        <v>768</v>
      </c>
      <c r="L12" s="42">
        <f t="shared" si="2"/>
        <v>1150.4864817857</v>
      </c>
      <c r="M12" s="42">
        <f t="shared" si="0"/>
        <v>1918.4864817857</v>
      </c>
    </row>
    <row r="13" ht="20.1" customHeight="1" spans="1:13">
      <c r="A13" s="37" t="s">
        <v>42</v>
      </c>
      <c r="B13" s="37" t="s">
        <v>35</v>
      </c>
      <c r="C13" s="37">
        <v>48</v>
      </c>
      <c r="D13" s="38">
        <v>72.06</v>
      </c>
      <c r="E13" s="38">
        <v>71.0979166666667</v>
      </c>
      <c r="F13" s="39">
        <v>0.98664885743362</v>
      </c>
      <c r="G13" s="40">
        <v>5</v>
      </c>
      <c r="H13" s="41" t="s">
        <v>43</v>
      </c>
      <c r="I13" s="31">
        <v>5</v>
      </c>
      <c r="J13" s="31">
        <v>5</v>
      </c>
      <c r="K13" s="31">
        <f t="shared" si="1"/>
        <v>768</v>
      </c>
      <c r="L13" s="42">
        <f t="shared" si="2"/>
        <v>1136.58757043959</v>
      </c>
      <c r="M13" s="42">
        <f t="shared" si="0"/>
        <v>1904.58757043959</v>
      </c>
    </row>
    <row r="14" ht="20.1" customHeight="1" spans="1:13">
      <c r="A14" s="37" t="s">
        <v>44</v>
      </c>
      <c r="B14" s="37" t="s">
        <v>35</v>
      </c>
      <c r="C14" s="37">
        <v>43</v>
      </c>
      <c r="D14" s="38">
        <v>72.06</v>
      </c>
      <c r="E14" s="38">
        <v>70.0206896551724</v>
      </c>
      <c r="F14" s="39">
        <v>0.971699828686822</v>
      </c>
      <c r="G14" s="40">
        <v>6</v>
      </c>
      <c r="H14" s="41" t="s">
        <v>40</v>
      </c>
      <c r="I14" s="31">
        <v>5</v>
      </c>
      <c r="J14" s="31">
        <v>5</v>
      </c>
      <c r="K14" s="31">
        <f t="shared" si="1"/>
        <v>768</v>
      </c>
      <c r="L14" s="42">
        <f t="shared" si="2"/>
        <v>1119.36677285214</v>
      </c>
      <c r="M14" s="42">
        <f t="shared" si="0"/>
        <v>1887.36677285214</v>
      </c>
    </row>
    <row r="15" ht="20.1" customHeight="1" spans="1:13">
      <c r="A15" s="37" t="s">
        <v>45</v>
      </c>
      <c r="B15" s="37" t="s">
        <v>35</v>
      </c>
      <c r="C15" s="37">
        <v>39</v>
      </c>
      <c r="D15" s="38">
        <v>72.06</v>
      </c>
      <c r="E15" s="38">
        <v>67.8068965517241</v>
      </c>
      <c r="F15" s="39">
        <v>0.940978303521012</v>
      </c>
      <c r="G15" s="40">
        <v>7</v>
      </c>
      <c r="H15" s="41" t="s">
        <v>36</v>
      </c>
      <c r="I15" s="31">
        <v>5</v>
      </c>
      <c r="J15" s="31">
        <v>5</v>
      </c>
      <c r="K15" s="31">
        <f t="shared" si="1"/>
        <v>768</v>
      </c>
      <c r="L15" s="42">
        <f t="shared" si="2"/>
        <v>1083.97656955405</v>
      </c>
      <c r="M15" s="42">
        <f t="shared" si="0"/>
        <v>1851.97656955405</v>
      </c>
    </row>
    <row r="16" ht="20.1" customHeight="1" spans="1:13">
      <c r="A16" s="31" t="s">
        <v>46</v>
      </c>
      <c r="B16" s="31" t="s">
        <v>35</v>
      </c>
      <c r="C16" s="31">
        <v>36</v>
      </c>
      <c r="D16" s="41">
        <v>72.06</v>
      </c>
      <c r="E16" s="41">
        <v>62.65</v>
      </c>
      <c r="F16" s="43">
        <v>0.869414376908132</v>
      </c>
      <c r="G16" s="44">
        <v>8</v>
      </c>
      <c r="H16" s="31" t="s">
        <v>47</v>
      </c>
      <c r="I16" s="31">
        <v>5</v>
      </c>
      <c r="J16" s="31">
        <v>5</v>
      </c>
      <c r="K16" s="31">
        <f t="shared" si="1"/>
        <v>768</v>
      </c>
      <c r="L16" s="42">
        <f t="shared" si="2"/>
        <v>1001.5372408433</v>
      </c>
      <c r="M16" s="42">
        <f t="shared" si="0"/>
        <v>1769.5372408433</v>
      </c>
    </row>
    <row r="17" ht="20.1" customHeight="1" spans="1:13">
      <c r="A17" s="17"/>
      <c r="B17" s="17"/>
      <c r="C17" s="17"/>
      <c r="D17" s="45"/>
      <c r="E17" s="45"/>
      <c r="F17" s="46"/>
      <c r="G17" s="28"/>
      <c r="H17" s="17"/>
      <c r="I17" s="17"/>
      <c r="J17" s="31" t="s">
        <v>20</v>
      </c>
      <c r="K17" s="47">
        <f>SUM(K9:K16)</f>
        <v>6144</v>
      </c>
      <c r="L17" s="47">
        <f>SUM(L9:L16)</f>
        <v>9216</v>
      </c>
      <c r="M17" s="47">
        <f t="shared" si="0"/>
        <v>15360</v>
      </c>
    </row>
    <row r="18" ht="20.1" customHeight="1" spans="1:13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ht="20.1" customHeight="1" spans="1:13">
      <c r="A19" s="17"/>
      <c r="B19" s="17" t="s">
        <v>2</v>
      </c>
      <c r="C19" s="17" t="s">
        <v>3</v>
      </c>
      <c r="D19" s="20" t="s">
        <v>4</v>
      </c>
      <c r="E19" s="45"/>
      <c r="F19" s="46"/>
      <c r="G19" s="28"/>
      <c r="H19" s="17"/>
      <c r="I19" s="29"/>
      <c r="J19" s="29"/>
      <c r="K19" s="17"/>
      <c r="L19" s="17"/>
      <c r="M19" s="17"/>
    </row>
    <row r="20" ht="20.1" customHeight="1" spans="1:13">
      <c r="A20" s="30" t="s">
        <v>48</v>
      </c>
      <c r="B20" s="31" t="s">
        <v>10</v>
      </c>
      <c r="C20" s="32">
        <f>C4</f>
        <v>2400</v>
      </c>
      <c r="D20" s="33">
        <f>D4</f>
        <v>1920</v>
      </c>
      <c r="E20" s="17"/>
      <c r="F20" s="17"/>
      <c r="G20" s="29"/>
      <c r="H20" s="29"/>
      <c r="I20" s="34" t="s">
        <v>22</v>
      </c>
      <c r="J20" s="35"/>
      <c r="K20" s="31"/>
      <c r="L20" s="31"/>
      <c r="M20" s="31"/>
    </row>
    <row r="21" ht="20.1" customHeight="1" spans="1:13">
      <c r="A21" s="31" t="s">
        <v>23</v>
      </c>
      <c r="B21" s="31" t="s">
        <v>1</v>
      </c>
      <c r="C21" s="31" t="s">
        <v>24</v>
      </c>
      <c r="D21" s="31" t="s">
        <v>25</v>
      </c>
      <c r="E21" s="31" t="s">
        <v>26</v>
      </c>
      <c r="F21" s="31" t="s">
        <v>27</v>
      </c>
      <c r="G21" s="31" t="s">
        <v>28</v>
      </c>
      <c r="H21" s="31" t="s">
        <v>29</v>
      </c>
      <c r="I21" s="48" t="s">
        <v>30</v>
      </c>
      <c r="J21" s="48" t="s">
        <v>31</v>
      </c>
      <c r="K21" s="31" t="s">
        <v>32</v>
      </c>
      <c r="L21" s="31" t="s">
        <v>33</v>
      </c>
      <c r="M21" s="31" t="s">
        <v>20</v>
      </c>
    </row>
    <row r="22" ht="20.1" customHeight="1" spans="1:13">
      <c r="A22" s="49" t="s">
        <v>49</v>
      </c>
      <c r="B22" s="50" t="s">
        <v>50</v>
      </c>
      <c r="C22" s="50">
        <v>32</v>
      </c>
      <c r="D22" s="51">
        <v>64.63</v>
      </c>
      <c r="E22" s="52">
        <v>66.0125</v>
      </c>
      <c r="F22" s="53">
        <v>1.02139099489401</v>
      </c>
      <c r="G22" s="54">
        <v>1</v>
      </c>
      <c r="H22" s="55" t="s">
        <v>51</v>
      </c>
      <c r="I22" s="31">
        <v>5</v>
      </c>
      <c r="J22" s="31">
        <v>5</v>
      </c>
      <c r="K22" s="31">
        <f>$D$20*0.4*SUM(I22:J22)/SUM($I$22:$J$23)</f>
        <v>384</v>
      </c>
      <c r="L22" s="42">
        <f>$D$20*0.6*0.7*E22/SUM($E$22:$E$23)+$D$20*0.6*0.3*F22/SUM($F$22:$F$23)</f>
        <v>588.279084354101</v>
      </c>
      <c r="M22" s="42">
        <f>SUM(K22:L22)</f>
        <v>972.279084354101</v>
      </c>
    </row>
    <row r="23" ht="20.1" customHeight="1" spans="1:13">
      <c r="A23" s="49" t="s">
        <v>52</v>
      </c>
      <c r="B23" s="50" t="s">
        <v>50</v>
      </c>
      <c r="C23" s="50">
        <v>37</v>
      </c>
      <c r="D23" s="51">
        <v>64.63</v>
      </c>
      <c r="E23" s="52">
        <v>63.2567567567568</v>
      </c>
      <c r="F23" s="53">
        <v>0.978752232040179</v>
      </c>
      <c r="G23" s="54">
        <v>2</v>
      </c>
      <c r="H23" s="9" t="s">
        <v>53</v>
      </c>
      <c r="I23" s="31">
        <v>5</v>
      </c>
      <c r="J23" s="31">
        <v>5</v>
      </c>
      <c r="K23" s="31">
        <f>$D$20*0.4*SUM(I23:J23)/SUM($I$22:$J$23)</f>
        <v>384</v>
      </c>
      <c r="L23" s="42">
        <f>$D$20*0.6*0.7*E23/SUM($E$22:$E$23)+$D$20*0.6*0.3*F23/SUM($F$22:$F$23)</f>
        <v>563.720915645899</v>
      </c>
      <c r="M23" s="42">
        <f>SUM(K23:L23)</f>
        <v>947.720915645899</v>
      </c>
    </row>
    <row r="24" ht="20.1" customHeight="1" spans="1:13">
      <c r="A24" s="17"/>
      <c r="B24" s="17"/>
      <c r="C24" s="29"/>
      <c r="D24" s="17"/>
      <c r="E24" s="29"/>
      <c r="F24" s="29"/>
      <c r="G24" s="29"/>
      <c r="H24" s="29"/>
      <c r="I24" s="29"/>
      <c r="J24" s="31" t="s">
        <v>20</v>
      </c>
      <c r="K24" s="47">
        <f>SUM(K22:K23)</f>
        <v>768</v>
      </c>
      <c r="L24" s="47">
        <f>SUM(L22:L23)</f>
        <v>1152</v>
      </c>
      <c r="M24" s="47">
        <f>SUM(K24:L24)</f>
        <v>1920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zoomScale="110" zoomScaleNormal="110" topLeftCell="A22" workbookViewId="0">
      <selection activeCell="A1" sqref="A1:F48"/>
    </sheetView>
  </sheetViews>
  <sheetFormatPr defaultColWidth="8.89166666666667" defaultRowHeight="13.5" outlineLevelCol="5"/>
  <cols>
    <col min="2" max="2" width="19.9916666666667" customWidth="1"/>
    <col min="3" max="3" width="14.1083333333333"/>
    <col min="4" max="4" width="13"/>
    <col min="5" max="5" width="14.1083333333333"/>
    <col min="6" max="6" width="14.1083333333333" style="5"/>
  </cols>
  <sheetData>
    <row r="1" spans="1:6">
      <c r="A1" s="6" t="s">
        <v>124</v>
      </c>
      <c r="B1" s="6" t="s">
        <v>125</v>
      </c>
      <c r="C1" s="6" t="s">
        <v>126</v>
      </c>
      <c r="D1" s="6" t="s">
        <v>127</v>
      </c>
      <c r="E1" s="6" t="s">
        <v>128</v>
      </c>
      <c r="F1" s="7" t="s">
        <v>129</v>
      </c>
    </row>
    <row r="2" spans="1:6">
      <c r="A2" s="6" t="s">
        <v>56</v>
      </c>
      <c r="B2" s="6" t="s">
        <v>57</v>
      </c>
      <c r="C2" s="6">
        <f>SUMIF(质量奖!H:H,B2,质量奖!M:M)</f>
        <v>4380.85919030709</v>
      </c>
      <c r="D2" s="6"/>
      <c r="E2" s="6">
        <f>C2+D2</f>
        <v>4380.85919030709</v>
      </c>
      <c r="F2" s="7">
        <f>SUM(E2:E9)</f>
        <v>36000</v>
      </c>
    </row>
    <row r="3" spans="1:6">
      <c r="A3" s="6"/>
      <c r="B3" s="6" t="s">
        <v>58</v>
      </c>
      <c r="C3" s="6">
        <f>SUMIF(质量奖!H:H,B3,质量奖!M:M)</f>
        <v>4299.09171730619</v>
      </c>
      <c r="D3" s="6"/>
      <c r="E3" s="6">
        <f t="shared" ref="E3:E47" si="0">C3+D3</f>
        <v>4299.09171730619</v>
      </c>
      <c r="F3" s="7"/>
    </row>
    <row r="4" spans="1:6">
      <c r="A4" s="6"/>
      <c r="B4" s="6" t="s">
        <v>59</v>
      </c>
      <c r="C4" s="6">
        <f>SUMIF(质量奖!H:H,B4,质量奖!M:M)</f>
        <v>4561.69007438568</v>
      </c>
      <c r="D4" s="6"/>
      <c r="E4" s="6">
        <f t="shared" si="0"/>
        <v>4561.69007438568</v>
      </c>
      <c r="F4" s="7"/>
    </row>
    <row r="5" spans="1:6">
      <c r="A5" s="6"/>
      <c r="B5" s="6" t="s">
        <v>62</v>
      </c>
      <c r="C5" s="6">
        <f>SUMIF(质量奖!H:H,B5,质量奖!M:M)</f>
        <v>4411.92768864278</v>
      </c>
      <c r="D5" s="6"/>
      <c r="E5" s="6">
        <f t="shared" si="0"/>
        <v>4411.92768864278</v>
      </c>
      <c r="F5" s="7"/>
    </row>
    <row r="6" spans="1:6">
      <c r="A6" s="6"/>
      <c r="B6" s="6" t="s">
        <v>60</v>
      </c>
      <c r="C6" s="6">
        <f>SUMIF(质量奖!H:H,B6,质量奖!M:M)</f>
        <v>4541.74368368025</v>
      </c>
      <c r="D6" s="6"/>
      <c r="E6" s="6">
        <f t="shared" si="0"/>
        <v>4541.74368368025</v>
      </c>
      <c r="F6" s="7"/>
    </row>
    <row r="7" spans="1:6">
      <c r="A7" s="6"/>
      <c r="B7" s="8" t="s">
        <v>63</v>
      </c>
      <c r="C7" s="6">
        <f>SUMIF(质量奖!H:H,B7,质量奖!M:M)</f>
        <v>4412.8843464658</v>
      </c>
      <c r="D7" s="6"/>
      <c r="E7" s="6">
        <f t="shared" si="0"/>
        <v>4412.8843464658</v>
      </c>
      <c r="F7" s="7"/>
    </row>
    <row r="8" spans="1:6">
      <c r="A8" s="6"/>
      <c r="B8" s="9" t="s">
        <v>64</v>
      </c>
      <c r="C8" s="6">
        <f>SUMIF(质量奖!H:H,B8,质量奖!M:M)</f>
        <v>4544.90285732115</v>
      </c>
      <c r="D8" s="6"/>
      <c r="E8" s="6">
        <f t="shared" si="0"/>
        <v>4544.90285732115</v>
      </c>
      <c r="F8" s="7"/>
    </row>
    <row r="9" spans="1:6">
      <c r="A9" s="6"/>
      <c r="B9" s="9" t="s">
        <v>100</v>
      </c>
      <c r="C9" s="6">
        <f>SUMIF(质量奖!H:H,B9,质量奖!M:M)</f>
        <v>4846.90044189107</v>
      </c>
      <c r="D9" s="6"/>
      <c r="E9" s="6">
        <f t="shared" si="0"/>
        <v>4846.90044189107</v>
      </c>
      <c r="F9" s="7"/>
    </row>
    <row r="10" spans="1:6">
      <c r="A10" s="6" t="s">
        <v>130</v>
      </c>
      <c r="B10" s="6" t="s">
        <v>67</v>
      </c>
      <c r="C10" s="6">
        <f>SUMIF(质量奖!$H$19:$H$146,B10,质量奖!$M$19:$M$146)</f>
        <v>2792.66583475457</v>
      </c>
      <c r="D10" s="6"/>
      <c r="E10" s="6">
        <f t="shared" si="0"/>
        <v>2792.66583475457</v>
      </c>
      <c r="F10" s="7">
        <f>SUM(E10:E17)</f>
        <v>28800</v>
      </c>
    </row>
    <row r="11" spans="1:6">
      <c r="A11" s="6"/>
      <c r="B11" s="6" t="s">
        <v>70</v>
      </c>
      <c r="C11" s="6">
        <f>SUMIF(质量奖!$H$19:$H$146,B11,质量奖!$M$19:$M$146)</f>
        <v>4020.20829156847</v>
      </c>
      <c r="D11" s="6"/>
      <c r="E11" s="6">
        <f t="shared" si="0"/>
        <v>4020.20829156847</v>
      </c>
      <c r="F11" s="7"/>
    </row>
    <row r="12" spans="1:6">
      <c r="A12" s="6"/>
      <c r="B12" s="6" t="s">
        <v>69</v>
      </c>
      <c r="C12" s="6">
        <f>SUMIF(质量奖!$H$19:$H$146,B12,质量奖!$M$19:$M$146)</f>
        <v>2754.5653720533</v>
      </c>
      <c r="D12" s="6"/>
      <c r="E12" s="6">
        <f t="shared" si="0"/>
        <v>2754.5653720533</v>
      </c>
      <c r="F12" s="7"/>
    </row>
    <row r="13" spans="1:6">
      <c r="A13" s="6"/>
      <c r="B13" s="6" t="s">
        <v>71</v>
      </c>
      <c r="C13" s="6">
        <f>SUMIF(质量奖!$H$19:$H$146,B13,质量奖!$M$19:$M$146)</f>
        <v>3700.30549790542</v>
      </c>
      <c r="D13" s="6"/>
      <c r="E13" s="6">
        <f t="shared" si="0"/>
        <v>3700.30549790542</v>
      </c>
      <c r="F13" s="7"/>
    </row>
    <row r="14" spans="1:6">
      <c r="A14" s="6"/>
      <c r="B14" s="6" t="s">
        <v>72</v>
      </c>
      <c r="C14" s="6">
        <f>SUMIF(质量奖!$H$19:$H$146,B14,质量奖!$M$19:$M$146)</f>
        <v>3751.07320624533</v>
      </c>
      <c r="D14" s="6"/>
      <c r="E14" s="6">
        <f t="shared" si="0"/>
        <v>3751.07320624533</v>
      </c>
      <c r="F14" s="7"/>
    </row>
    <row r="15" spans="1:6">
      <c r="A15" s="6"/>
      <c r="B15" s="6" t="s">
        <v>73</v>
      </c>
      <c r="C15" s="6">
        <f>SUMIF(质量奖!$H$19:$H$146,B15,质量奖!$M$19:$M$146)</f>
        <v>3454.93791979504</v>
      </c>
      <c r="D15" s="6"/>
      <c r="E15" s="6">
        <f t="shared" si="0"/>
        <v>3454.93791979504</v>
      </c>
      <c r="F15" s="7"/>
    </row>
    <row r="16" spans="1:6">
      <c r="A16" s="6"/>
      <c r="B16" s="6" t="s">
        <v>107</v>
      </c>
      <c r="C16" s="6">
        <f>SUMIF(质量奖!$H$19:$H$146,B16,质量奖!$M$19:$M$146)</f>
        <v>4645.7964844239</v>
      </c>
      <c r="D16" s="6"/>
      <c r="E16" s="6">
        <f t="shared" si="0"/>
        <v>4645.7964844239</v>
      </c>
      <c r="F16" s="7"/>
    </row>
    <row r="17" spans="1:6">
      <c r="A17" s="6"/>
      <c r="B17" s="6" t="s">
        <v>68</v>
      </c>
      <c r="C17" s="6">
        <f>SUMIF(质量奖!$H$19:$H$146,B17,质量奖!$M$19:$M$146)</f>
        <v>3680.44739325394</v>
      </c>
      <c r="D17" s="6"/>
      <c r="E17" s="6">
        <f t="shared" si="0"/>
        <v>3680.44739325394</v>
      </c>
      <c r="F17" s="7"/>
    </row>
    <row r="18" spans="1:6">
      <c r="A18" s="6" t="s">
        <v>131</v>
      </c>
      <c r="B18" s="6" t="s">
        <v>82</v>
      </c>
      <c r="C18" s="6">
        <f>SUMIF(质量奖!$H$19:$H$146,B18,质量奖!$M$19:$M$146)</f>
        <v>3007.86051488396</v>
      </c>
      <c r="D18" s="6"/>
      <c r="E18" s="6">
        <f t="shared" si="0"/>
        <v>3007.86051488396</v>
      </c>
      <c r="F18" s="7">
        <f>SUM(E18:E24)</f>
        <v>12000</v>
      </c>
    </row>
    <row r="19" spans="1:6">
      <c r="A19" s="6"/>
      <c r="B19" s="6" t="s">
        <v>84</v>
      </c>
      <c r="C19" s="6">
        <f>SUMIF(质量奖!$H$19:$H$146,B19,质量奖!$M$19:$M$146)</f>
        <v>2601.63938638291</v>
      </c>
      <c r="D19" s="6"/>
      <c r="E19" s="6">
        <f t="shared" si="0"/>
        <v>2601.63938638291</v>
      </c>
      <c r="F19" s="7"/>
    </row>
    <row r="20" spans="1:6">
      <c r="A20" s="6"/>
      <c r="B20" s="6" t="s">
        <v>85</v>
      </c>
      <c r="C20" s="6">
        <f>SUMIF(质量奖!$H$19:$H$146,B20,质量奖!$M$19:$M$146)</f>
        <v>1362.59175005418</v>
      </c>
      <c r="D20" s="6"/>
      <c r="E20" s="6">
        <f t="shared" si="0"/>
        <v>1362.59175005418</v>
      </c>
      <c r="F20" s="7"/>
    </row>
    <row r="21" spans="1:6">
      <c r="A21" s="6"/>
      <c r="B21" s="6" t="s">
        <v>83</v>
      </c>
      <c r="C21" s="6">
        <f>SUMIF(质量奖!$H$19:$H$146,B21,质量奖!$M$19:$M$146)</f>
        <v>1447.41394081262</v>
      </c>
      <c r="D21" s="6"/>
      <c r="E21" s="6">
        <f t="shared" si="0"/>
        <v>1447.41394081262</v>
      </c>
      <c r="F21" s="7"/>
    </row>
    <row r="22" spans="1:6">
      <c r="A22" s="6"/>
      <c r="B22" s="6" t="s">
        <v>86</v>
      </c>
      <c r="C22" s="6">
        <f>SUMIF(质量奖!$H$19:$H$146,B22,质量奖!$M$19:$M$146)</f>
        <v>1327.52280362151</v>
      </c>
      <c r="D22" s="6"/>
      <c r="E22" s="6">
        <f t="shared" si="0"/>
        <v>1327.52280362151</v>
      </c>
      <c r="F22" s="7"/>
    </row>
    <row r="23" spans="1:6">
      <c r="A23" s="6"/>
      <c r="B23" s="6" t="s">
        <v>88</v>
      </c>
      <c r="C23" s="6">
        <f>SUMIF(质量奖!$H$19:$H$146,B23,质量奖!$M$19:$M$146)</f>
        <v>1113.62574695584</v>
      </c>
      <c r="D23" s="6"/>
      <c r="E23" s="6">
        <f t="shared" si="0"/>
        <v>1113.62574695584</v>
      </c>
      <c r="F23" s="7"/>
    </row>
    <row r="24" spans="1:6">
      <c r="A24" s="6"/>
      <c r="B24" s="6" t="s">
        <v>87</v>
      </c>
      <c r="C24" s="6">
        <f>SUMIF(质量奖!$H$19:$H$146,B24,质量奖!$M$19:$M$146)</f>
        <v>1139.34585728899</v>
      </c>
      <c r="D24" s="6"/>
      <c r="E24" s="6">
        <f t="shared" si="0"/>
        <v>1139.34585728899</v>
      </c>
      <c r="F24" s="7"/>
    </row>
    <row r="25" spans="1:6">
      <c r="A25" s="6" t="s">
        <v>75</v>
      </c>
      <c r="B25" s="6" t="s">
        <v>76</v>
      </c>
      <c r="C25" s="6">
        <f>SUMIF(质量奖!$H$19:$H$146,B25,质量奖!$M$19:$M$146)</f>
        <v>1797.7594437998</v>
      </c>
      <c r="D25" s="6"/>
      <c r="E25" s="6">
        <f t="shared" si="0"/>
        <v>1797.7594437998</v>
      </c>
      <c r="F25" s="7">
        <f>SUM(E25:E28)</f>
        <v>7680</v>
      </c>
    </row>
    <row r="26" spans="1:6">
      <c r="A26" s="6"/>
      <c r="B26" s="6" t="s">
        <v>78</v>
      </c>
      <c r="C26" s="6">
        <f>SUMIF(质量奖!$H$19:$H$146,B26,质量奖!$M$19:$M$146)</f>
        <v>2513.51286198763</v>
      </c>
      <c r="D26" s="6"/>
      <c r="E26" s="6">
        <f t="shared" si="0"/>
        <v>2513.51286198763</v>
      </c>
      <c r="F26" s="7"/>
    </row>
    <row r="27" spans="1:6">
      <c r="A27" s="6"/>
      <c r="B27" s="6" t="s">
        <v>77</v>
      </c>
      <c r="C27" s="6">
        <f>SUMIF(质量奖!$H$19:$H$146,B27,质量奖!$M$19:$M$146)</f>
        <v>1761.94558383069</v>
      </c>
      <c r="D27" s="6"/>
      <c r="E27" s="6">
        <f t="shared" si="0"/>
        <v>1761.94558383069</v>
      </c>
      <c r="F27" s="7"/>
    </row>
    <row r="28" spans="1:6">
      <c r="A28" s="6"/>
      <c r="B28" s="9" t="s">
        <v>79</v>
      </c>
      <c r="C28" s="6">
        <f>SUMIF(质量奖!$H$19:$H$146,B28,质量奖!$M$19:$M$146)</f>
        <v>1606.78211038188</v>
      </c>
      <c r="D28" s="6"/>
      <c r="E28" s="6">
        <f t="shared" si="0"/>
        <v>1606.78211038188</v>
      </c>
      <c r="F28" s="7"/>
    </row>
    <row r="29" spans="1:6">
      <c r="A29" s="10" t="s">
        <v>35</v>
      </c>
      <c r="B29" s="6" t="s">
        <v>36</v>
      </c>
      <c r="C29" s="6">
        <f>SUMIF(质量奖!$H$19:$H$146,B29,质量奖!$M$19:$M$146)</f>
        <v>5949.37355067901</v>
      </c>
      <c r="D29" s="6">
        <f>SUMIF(进步奖!H:H,B29,进步奖!M:M)</f>
        <v>3885.30517595364</v>
      </c>
      <c r="E29" s="6">
        <f t="shared" si="0"/>
        <v>9834.67872663265</v>
      </c>
      <c r="F29" s="11">
        <f>SUM(E29:E33)</f>
        <v>38880</v>
      </c>
    </row>
    <row r="30" spans="1:6">
      <c r="A30" s="12"/>
      <c r="B30" s="6" t="s">
        <v>38</v>
      </c>
      <c r="C30" s="6">
        <f>质量奖!M20+质量奖!M22+质量奖!M26*0.5</f>
        <v>7384.6511136112</v>
      </c>
      <c r="D30" s="6">
        <f>进步奖!M10+进步奖!M12+进步奖!M16*0.5</f>
        <v>4822.62929868487</v>
      </c>
      <c r="E30" s="6">
        <f t="shared" si="0"/>
        <v>12207.2804122961</v>
      </c>
      <c r="F30" s="13"/>
    </row>
    <row r="31" spans="1:6">
      <c r="A31" s="12"/>
      <c r="B31" s="6" t="s">
        <v>40</v>
      </c>
      <c r="C31" s="6">
        <f>SUMIF(质量奖!$H$19:$H$146,B31,质量奖!$M$19:$M$146)</f>
        <v>5914.77366845352</v>
      </c>
      <c r="D31" s="6">
        <f>SUMIF(进步奖!H:H,B31,进步奖!M:M)</f>
        <v>3862.70933450026</v>
      </c>
      <c r="E31" s="6">
        <f t="shared" si="0"/>
        <v>9777.48300295378</v>
      </c>
      <c r="F31" s="13"/>
    </row>
    <row r="32" spans="1:6">
      <c r="A32" s="12"/>
      <c r="B32" s="6" t="s">
        <v>43</v>
      </c>
      <c r="C32" s="6">
        <f>SUMIF(质量奖!$H$19:$H$146,B32,质量奖!$M$19:$M$146)</f>
        <v>2916.39971723562</v>
      </c>
      <c r="D32" s="6">
        <f>SUMIF(进步奖!H:H,B32,进步奖!M:M)</f>
        <v>1904.58757043959</v>
      </c>
      <c r="E32" s="6">
        <f t="shared" si="0"/>
        <v>4820.98728767521</v>
      </c>
      <c r="F32" s="13"/>
    </row>
    <row r="33" spans="1:6">
      <c r="A33" s="14"/>
      <c r="B33" s="8" t="s">
        <v>132</v>
      </c>
      <c r="C33" s="6">
        <f>质量奖!M26*0.5</f>
        <v>1354.80195002065</v>
      </c>
      <c r="D33" s="6">
        <f>进步奖!M16*0.5</f>
        <v>884.76862042165</v>
      </c>
      <c r="E33" s="6">
        <f t="shared" si="0"/>
        <v>2239.5705704423</v>
      </c>
      <c r="F33" s="15"/>
    </row>
    <row r="34" spans="1:6">
      <c r="A34" s="12" t="s">
        <v>50</v>
      </c>
      <c r="B34" s="8" t="s">
        <v>133</v>
      </c>
      <c r="C34" s="6">
        <f>质量奖!M89*1/4+质量奖!M91*1/4</f>
        <v>504.765325765056</v>
      </c>
      <c r="D34" s="6"/>
      <c r="E34" s="6">
        <f t="shared" si="0"/>
        <v>504.765325765056</v>
      </c>
      <c r="F34" s="13">
        <f>SUM(E34:E38)</f>
        <v>12480</v>
      </c>
    </row>
    <row r="35" spans="1:6">
      <c r="A35" s="12"/>
      <c r="B35" s="8" t="s">
        <v>134</v>
      </c>
      <c r="C35" s="6">
        <f>质量奖!M89*3/4</f>
        <v>780.643449375195</v>
      </c>
      <c r="D35" s="6"/>
      <c r="E35" s="6">
        <f t="shared" si="0"/>
        <v>780.643449375195</v>
      </c>
      <c r="F35" s="13"/>
    </row>
    <row r="36" spans="1:6">
      <c r="A36" s="12"/>
      <c r="B36" s="8" t="s">
        <v>51</v>
      </c>
      <c r="C36" s="6">
        <f>质量奖!M91*3/4+质量奖!M93*1/4+质量奖!M90+质量奖!M31</f>
        <v>4381.48453879101</v>
      </c>
      <c r="D36" s="6">
        <f>SUMIF(进步奖!H:H,B36,进步奖!M:M)</f>
        <v>972.279084354101</v>
      </c>
      <c r="E36" s="6">
        <f t="shared" si="0"/>
        <v>5353.76362314511</v>
      </c>
      <c r="F36" s="13"/>
    </row>
    <row r="37" spans="1:6">
      <c r="A37" s="12"/>
      <c r="B37" s="8" t="s">
        <v>53</v>
      </c>
      <c r="C37" s="6">
        <f>SUMIF(质量奖!$H$19:$H$146,B37,质量奖!$M$19:$M$146)</f>
        <v>4213.17004601528</v>
      </c>
      <c r="D37" s="6">
        <f>SUMIF(进步奖!H:H,B37,进步奖!M:M)</f>
        <v>947.720915645899</v>
      </c>
      <c r="E37" s="6">
        <f t="shared" si="0"/>
        <v>5160.89096166117</v>
      </c>
      <c r="F37" s="13"/>
    </row>
    <row r="38" spans="1:6">
      <c r="A38" s="14"/>
      <c r="B38" s="8" t="s">
        <v>135</v>
      </c>
      <c r="C38" s="6">
        <f>质量奖!M93*3/4</f>
        <v>679.936640053468</v>
      </c>
      <c r="D38" s="6"/>
      <c r="E38" s="6">
        <f t="shared" si="0"/>
        <v>679.936640053468</v>
      </c>
      <c r="F38" s="15"/>
    </row>
    <row r="39" spans="1:6">
      <c r="A39" s="10" t="s">
        <v>94</v>
      </c>
      <c r="B39" s="8" t="s">
        <v>136</v>
      </c>
      <c r="C39" s="6">
        <f>质量奖!M146*3/4+质量奖!M99*3/4</f>
        <v>1244.23209036512</v>
      </c>
      <c r="D39" s="6"/>
      <c r="E39" s="6">
        <f t="shared" si="0"/>
        <v>1244.23209036512</v>
      </c>
      <c r="F39" s="11">
        <f>SUM(E39:E43)</f>
        <v>8640</v>
      </c>
    </row>
    <row r="40" spans="1:6">
      <c r="A40" s="12"/>
      <c r="B40" s="8" t="s">
        <v>96</v>
      </c>
      <c r="C40" s="6">
        <f>SUMIF(质量奖!$H$19:$H$146,B40,质量奖!$M$19:$M$146)</f>
        <v>2752.3351031254</v>
      </c>
      <c r="D40" s="6"/>
      <c r="E40" s="6">
        <f t="shared" si="0"/>
        <v>2752.3351031254</v>
      </c>
      <c r="F40" s="13"/>
    </row>
    <row r="41" spans="1:6">
      <c r="A41" s="12"/>
      <c r="B41" s="8" t="s">
        <v>120</v>
      </c>
      <c r="C41" s="6">
        <f>SUMIF(质量奖!$H$19:$H$146,B41,质量奖!$M$19:$M$146)</f>
        <v>2148.67408999001</v>
      </c>
      <c r="D41" s="6"/>
      <c r="E41" s="6">
        <f t="shared" si="0"/>
        <v>2148.67408999001</v>
      </c>
      <c r="F41" s="13"/>
    </row>
    <row r="42" spans="1:6">
      <c r="A42" s="12"/>
      <c r="B42" s="8" t="s">
        <v>121</v>
      </c>
      <c r="C42" s="6">
        <f>SUMIF(质量奖!$H$19:$H$146,B42,质量奖!$M$19:$M$146)</f>
        <v>2080.01468639776</v>
      </c>
      <c r="D42" s="6"/>
      <c r="E42" s="6">
        <f t="shared" si="0"/>
        <v>2080.01468639776</v>
      </c>
      <c r="F42" s="13"/>
    </row>
    <row r="43" spans="1:6">
      <c r="A43" s="14"/>
      <c r="B43" s="8" t="s">
        <v>137</v>
      </c>
      <c r="C43" s="6">
        <f>质量奖!M99*1/4+质量奖!M146*1/4</f>
        <v>414.744030121707</v>
      </c>
      <c r="D43" s="6"/>
      <c r="E43" s="6">
        <f t="shared" si="0"/>
        <v>414.744030121707</v>
      </c>
      <c r="F43" s="15"/>
    </row>
    <row r="44" spans="1:6">
      <c r="A44" s="6" t="s">
        <v>110</v>
      </c>
      <c r="B44" s="8" t="s">
        <v>111</v>
      </c>
      <c r="C44" s="6">
        <f>SUMIF(质量奖!$H$19:$H$146,B44,质量奖!$M$19:$M$146)</f>
        <v>3954.61360695247</v>
      </c>
      <c r="D44" s="6"/>
      <c r="E44" s="6">
        <f t="shared" si="0"/>
        <v>3954.61360695247</v>
      </c>
      <c r="F44" s="7">
        <f>SUM(E44:E47)</f>
        <v>13440</v>
      </c>
    </row>
    <row r="45" spans="1:6">
      <c r="A45" s="6"/>
      <c r="B45" s="8" t="s">
        <v>112</v>
      </c>
      <c r="C45" s="6">
        <f>SUMIF(质量奖!$H$19:$H$146,B45,质量奖!$M$19:$M$146)</f>
        <v>3785.44655860806</v>
      </c>
      <c r="D45" s="6"/>
      <c r="E45" s="6">
        <f t="shared" si="0"/>
        <v>3785.44655860806</v>
      </c>
      <c r="F45" s="7"/>
    </row>
    <row r="46" spans="1:6">
      <c r="A46" s="6"/>
      <c r="B46" s="8" t="s">
        <v>114</v>
      </c>
      <c r="C46" s="6">
        <f>SUMIF(质量奖!$H$19:$H$146,B46,质量奖!$M$19:$M$146)</f>
        <v>3806.0246933289</v>
      </c>
      <c r="D46" s="6"/>
      <c r="E46" s="6">
        <f t="shared" si="0"/>
        <v>3806.0246933289</v>
      </c>
      <c r="F46" s="7"/>
    </row>
    <row r="47" spans="1:6">
      <c r="A47" s="6"/>
      <c r="B47" s="8" t="s">
        <v>116</v>
      </c>
      <c r="C47" s="6">
        <f>SUMIF(质量奖!$H$19:$H$146,B47,质量奖!$M$19:$M$146)</f>
        <v>1893.91514111057</v>
      </c>
      <c r="D47" s="6"/>
      <c r="E47" s="6">
        <f t="shared" si="0"/>
        <v>1893.91514111057</v>
      </c>
      <c r="F47" s="7"/>
    </row>
    <row r="48" s="5" customFormat="1" spans="1:6">
      <c r="A48" s="7"/>
      <c r="B48" s="7" t="s">
        <v>20</v>
      </c>
      <c r="C48" s="7">
        <f>SUM(C2:C47)</f>
        <v>140640</v>
      </c>
      <c r="D48" s="7">
        <f>SUM(D2:D47)</f>
        <v>17280</v>
      </c>
      <c r="E48" s="7">
        <f>SUM(E2:E47)</f>
        <v>157920</v>
      </c>
      <c r="F48" s="7">
        <f>SUM(F2:F47)</f>
        <v>157920</v>
      </c>
    </row>
  </sheetData>
  <mergeCells count="16">
    <mergeCell ref="A2:A9"/>
    <mergeCell ref="A10:A17"/>
    <mergeCell ref="A18:A24"/>
    <mergeCell ref="A25:A28"/>
    <mergeCell ref="A29:A33"/>
    <mergeCell ref="A34:A38"/>
    <mergeCell ref="A39:A43"/>
    <mergeCell ref="A44:A47"/>
    <mergeCell ref="F2:F9"/>
    <mergeCell ref="F10:F17"/>
    <mergeCell ref="F18:F24"/>
    <mergeCell ref="F25:F28"/>
    <mergeCell ref="F29:F33"/>
    <mergeCell ref="F34:F38"/>
    <mergeCell ref="F39:F43"/>
    <mergeCell ref="F44:F4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C2" sqref="C2:C8"/>
    </sheetView>
  </sheetViews>
  <sheetFormatPr defaultColWidth="9" defaultRowHeight="13.5" outlineLevelCol="2"/>
  <cols>
    <col min="3" max="3" width="14.25" customWidth="1"/>
  </cols>
  <sheetData>
    <row r="1" spans="1:3">
      <c r="A1" s="1" t="s">
        <v>124</v>
      </c>
      <c r="B1" s="1" t="s">
        <v>125</v>
      </c>
      <c r="C1" s="1" t="s">
        <v>127</v>
      </c>
    </row>
    <row r="2" spans="1:3">
      <c r="A2" s="2" t="s">
        <v>35</v>
      </c>
      <c r="B2" s="1" t="s">
        <v>36</v>
      </c>
      <c r="C2" s="1">
        <v>3885.30517595364</v>
      </c>
    </row>
    <row r="3" spans="1:3">
      <c r="A3" s="3"/>
      <c r="B3" s="1" t="s">
        <v>38</v>
      </c>
      <c r="C3" s="1">
        <v>4822.62929868487</v>
      </c>
    </row>
    <row r="4" spans="1:3">
      <c r="A4" s="3"/>
      <c r="B4" s="1" t="s">
        <v>40</v>
      </c>
      <c r="C4" s="1">
        <v>3862.70933450026</v>
      </c>
    </row>
    <row r="5" spans="1:3">
      <c r="A5" s="3"/>
      <c r="B5" s="1" t="s">
        <v>43</v>
      </c>
      <c r="C5" s="1">
        <v>1904.58757043959</v>
      </c>
    </row>
    <row r="6" spans="1:3">
      <c r="A6" s="4"/>
      <c r="B6" s="1" t="s">
        <v>132</v>
      </c>
      <c r="C6" s="1">
        <v>884.76862042165</v>
      </c>
    </row>
    <row r="7" spans="1:3">
      <c r="A7" s="2" t="s">
        <v>50</v>
      </c>
      <c r="B7" s="1" t="s">
        <v>51</v>
      </c>
      <c r="C7" s="1">
        <v>972.279084354101</v>
      </c>
    </row>
    <row r="8" spans="1:3">
      <c r="A8" s="4"/>
      <c r="B8" s="1" t="s">
        <v>53</v>
      </c>
      <c r="C8" s="1">
        <v>947.720915645899</v>
      </c>
    </row>
    <row r="9" spans="1:3">
      <c r="A9" s="1"/>
      <c r="B9" s="1" t="s">
        <v>20</v>
      </c>
      <c r="C9" s="1">
        <f>SUM(C2:C8)</f>
        <v>17280</v>
      </c>
    </row>
  </sheetData>
  <mergeCells count="2">
    <mergeCell ref="A2:A6"/>
    <mergeCell ref="A7:A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质量奖</vt:lpstr>
      <vt:lpstr>进步奖</vt:lpstr>
      <vt:lpstr>总合计</vt:lpstr>
      <vt:lpstr>进步奖单列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漠尘</cp:lastModifiedBy>
  <dcterms:created xsi:type="dcterms:W3CDTF">2023-05-12T11:15:00Z</dcterms:created>
  <dcterms:modified xsi:type="dcterms:W3CDTF">2025-12-25T04:40:41Z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227625ED5719467F8759E75EF5BA00BA_13</vt:lpwstr>
  </property>
  <property fmtid="{D5CDD505-2E9C-101B-9397-08002B2CF9AE}" pid="4" name="CalculationRule">
    <vt:i4>0</vt:i4>
  </property>
</Properties>
</file>